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0" yWindow="225" windowWidth="19320" windowHeight="6810" tabRatio="934" activeTab="0"/>
  </bookViews>
  <sheets>
    <sheet name="ApI" sheetId="1" r:id="rId1"/>
    <sheet name="AnII" sheetId="2" r:id="rId2"/>
    <sheet name="ApIII" sheetId="3" r:id="rId3"/>
    <sheet name="ApIV" sheetId="4" r:id="rId4"/>
    <sheet name="ApV" sheetId="5" r:id="rId5"/>
    <sheet name="ApVI" sheetId="6" r:id="rId6"/>
    <sheet name="ApVII" sheetId="7" r:id="rId7"/>
    <sheet name="ApVIII" sheetId="8" r:id="rId8"/>
    <sheet name="ApIX" sheetId="9" r:id="rId9"/>
    <sheet name="AnX" sheetId="10" r:id="rId10"/>
    <sheet name="ApXI" sheetId="11" r:id="rId11"/>
    <sheet name="ApXII" sheetId="12" r:id="rId12"/>
    <sheet name="Framework" sheetId="13" r:id="rId13"/>
    <sheet name="ApXIV" sheetId="14" r:id="rId14"/>
    <sheet name="Sheet1" sheetId="15" state="hidden" r:id="rId15"/>
    <sheet name="Sheet2" sheetId="16" state="hidden" r:id="rId16"/>
    <sheet name="Sheet3" sheetId="17" state="hidden" r:id="rId17"/>
  </sheets>
  <definedNames>
    <definedName name="country">#REF!</definedName>
    <definedName name="_xlnm.Print_Area" localSheetId="9">'AnX'!$A$3:$F$22</definedName>
    <definedName name="_xlnm.Print_Area" localSheetId="0">'ApI'!$A$4:$O$110</definedName>
    <definedName name="_xlnm.Print_Area" localSheetId="2">'ApIII'!$A$1:$U$86</definedName>
    <definedName name="_xlnm.Print_Area" localSheetId="3">'ApIV'!$A$1:$AO$105</definedName>
    <definedName name="_xlnm.Print_Area" localSheetId="8">'ApIX'!$A$4:$S$77</definedName>
    <definedName name="_xlnm.Print_Area" localSheetId="5">'ApVI'!$A$1:$S$42</definedName>
    <definedName name="_xlnm.Print_Area" localSheetId="6">'ApVII'!$A$1:$S$10</definedName>
    <definedName name="_xlnm.Print_Area" localSheetId="7">'ApVIII'!$A$1:$K$28</definedName>
    <definedName name="_xlnm.Print_Area" localSheetId="10">'ApXI'!$A$1:$Y$35</definedName>
    <definedName name="_xlnm.Print_Area" localSheetId="11">'ApXII'!$A$4:$N$44</definedName>
    <definedName name="_xlnm.Print_Area" localSheetId="13">'ApXIV'!$A$1:$W$57</definedName>
    <definedName name="_xlnm.Print_Area" localSheetId="12">'Framework'!$A$4:$N$20</definedName>
    <definedName name="_xlnm.Print_Area" localSheetId="14">'Sheet1'!$A$1:$E$8</definedName>
    <definedName name="_xlnm.Print_Area" localSheetId="15">'Sheet2'!$A$11:$C$21</definedName>
    <definedName name="_xlnm.Print_Area" localSheetId="16">'Sheet3'!$A$1:$C$46</definedName>
    <definedName name="_xlnm.Print_Titles" localSheetId="1">'AnII'!$A:$A,'AnII'!$1:$2</definedName>
    <definedName name="_xlnm.Print_Titles" localSheetId="9">'AnX'!$1:$2</definedName>
    <definedName name="_xlnm.Print_Titles" localSheetId="0">'ApI'!$1:$3</definedName>
    <definedName name="_xlnm.Print_Titles" localSheetId="2">'ApIII'!$1:$4</definedName>
    <definedName name="_xlnm.Print_Titles" localSheetId="3">'ApIV'!$2:$3</definedName>
    <definedName name="_xlnm.Print_Titles" localSheetId="8">'ApIX'!$1:$3</definedName>
    <definedName name="_xlnm.Print_Titles" localSheetId="4">'ApV'!$1:$3</definedName>
    <definedName name="_xlnm.Print_Titles" localSheetId="5">'ApVI'!$1:$3</definedName>
    <definedName name="_xlnm.Print_Titles" localSheetId="7">'ApVIII'!$1:$4</definedName>
    <definedName name="_xlnm.Print_Titles" localSheetId="10">'ApXI'!$A:$A,'ApXI'!$1:$3</definedName>
    <definedName name="_xlnm.Print_Titles" localSheetId="11">'ApXII'!$1:$3</definedName>
    <definedName name="_xlnm.Print_Titles" localSheetId="13">'ApXIV'!$1:$1</definedName>
    <definedName name="_xlnm.Print_Titles" localSheetId="12">'Framework'!$1:$3</definedName>
    <definedName name="_xlnm.Print_Titles" localSheetId="15">'Sheet2'!$1:$3</definedName>
  </definedNames>
  <calcPr fullCalcOnLoad="1"/>
</workbook>
</file>

<file path=xl/sharedStrings.xml><?xml version="1.0" encoding="utf-8"?>
<sst xmlns="http://schemas.openxmlformats.org/spreadsheetml/2006/main" count="1801" uniqueCount="668">
  <si>
    <t>(No. : Persons, Value : '000 Baht)</t>
  </si>
  <si>
    <t>Country</t>
  </si>
  <si>
    <t>Bilateral</t>
  </si>
  <si>
    <t>TIPP</t>
  </si>
  <si>
    <t>AITC</t>
  </si>
  <si>
    <t>TCDC</t>
  </si>
  <si>
    <t>Trilateral</t>
  </si>
  <si>
    <t>Total TICP</t>
  </si>
  <si>
    <t>No.*</t>
  </si>
  <si>
    <t>Value</t>
  </si>
  <si>
    <t>No.</t>
  </si>
  <si>
    <t xml:space="preserve">   - Cambodia</t>
  </si>
  <si>
    <t xml:space="preserve">   - Lao PDR</t>
  </si>
  <si>
    <t xml:space="preserve">   - Myanmar</t>
  </si>
  <si>
    <t xml:space="preserve">   - Vietnam</t>
  </si>
  <si>
    <t>2. SOUTHEAST ASIA</t>
  </si>
  <si>
    <t xml:space="preserve">   - Indonesia</t>
  </si>
  <si>
    <t xml:space="preserve">   - Malaysia</t>
  </si>
  <si>
    <t xml:space="preserve">   - Philippines</t>
  </si>
  <si>
    <t xml:space="preserve">   - Timor Leste</t>
  </si>
  <si>
    <t>3. EAST ASIA</t>
  </si>
  <si>
    <t xml:space="preserve">   - China</t>
  </si>
  <si>
    <t xml:space="preserve">   - Mongolia</t>
  </si>
  <si>
    <t>4. SOUTH ASIA AND MIDDLE EAST</t>
  </si>
  <si>
    <t xml:space="preserve">   - Bangladesh</t>
  </si>
  <si>
    <t xml:space="preserve">   - Bhutan</t>
  </si>
  <si>
    <t xml:space="preserve">   - India</t>
  </si>
  <si>
    <t xml:space="preserve">   - Jordan</t>
  </si>
  <si>
    <t xml:space="preserve">   - Maldives</t>
  </si>
  <si>
    <t xml:space="preserve">   - Nepal</t>
  </si>
  <si>
    <t xml:space="preserve">   - Pakistan</t>
  </si>
  <si>
    <t xml:space="preserve">   - Sri Lanka</t>
  </si>
  <si>
    <t>5. THE PACIFIC</t>
  </si>
  <si>
    <t xml:space="preserve">   - Tajikistan</t>
  </si>
  <si>
    <t xml:space="preserve">   - Uzbekistan</t>
  </si>
  <si>
    <t xml:space="preserve">   - Egypt</t>
  </si>
  <si>
    <t xml:space="preserve">   - Gambia</t>
  </si>
  <si>
    <t xml:space="preserve">   - Kenya</t>
  </si>
  <si>
    <t xml:space="preserve">   - Madagascar</t>
  </si>
  <si>
    <t xml:space="preserve">   - Malawi</t>
  </si>
  <si>
    <t xml:space="preserve">   - Mauritius</t>
  </si>
  <si>
    <t xml:space="preserve">   - Morocco</t>
  </si>
  <si>
    <t xml:space="preserve">   - Mozambique</t>
  </si>
  <si>
    <t xml:space="preserve">   - Nigeria</t>
  </si>
  <si>
    <t xml:space="preserve">   - Senegal</t>
  </si>
  <si>
    <t xml:space="preserve">   - Sudan</t>
  </si>
  <si>
    <t xml:space="preserve">   - Tanzania</t>
  </si>
  <si>
    <t xml:space="preserve">   - Uganda</t>
  </si>
  <si>
    <t xml:space="preserve">   - Zambia</t>
  </si>
  <si>
    <t xml:space="preserve">   - Chile</t>
  </si>
  <si>
    <t xml:space="preserve">   - Colombia</t>
  </si>
  <si>
    <t xml:space="preserve">   - Mexico</t>
  </si>
  <si>
    <t xml:space="preserve">   - Peru</t>
  </si>
  <si>
    <t>GRAND TOTAL</t>
  </si>
  <si>
    <t>Development Project</t>
  </si>
  <si>
    <t xml:space="preserve">Expert/ Mission </t>
  </si>
  <si>
    <t>Equipment</t>
  </si>
  <si>
    <t>Others</t>
  </si>
  <si>
    <t>TOTAL</t>
  </si>
  <si>
    <t>Study</t>
  </si>
  <si>
    <t>Expert/Mission</t>
  </si>
  <si>
    <t>1. THE FOUR NEIGHBOURING COUNTRIES</t>
  </si>
  <si>
    <t>6. AFRICA</t>
  </si>
  <si>
    <t>Agriculture</t>
  </si>
  <si>
    <t>Communications</t>
  </si>
  <si>
    <t>Education</t>
  </si>
  <si>
    <t>Information Technology</t>
  </si>
  <si>
    <t>Infrastructure &amp; Public Utilities</t>
  </si>
  <si>
    <t>Labour &amp; Employment</t>
  </si>
  <si>
    <t>Natural Resources &amp; Environment</t>
  </si>
  <si>
    <t>Public Administration</t>
  </si>
  <si>
    <t>Public Health</t>
  </si>
  <si>
    <t>Science &amp; Technology</t>
  </si>
  <si>
    <t>Social Development &amp; Welfare</t>
  </si>
  <si>
    <t>Tourism</t>
  </si>
  <si>
    <t>Economics</t>
  </si>
  <si>
    <t>Energy</t>
  </si>
  <si>
    <t>1. THE FOUR NEIGHBOURING COUNTRIES :</t>
  </si>
  <si>
    <t xml:space="preserve">    - Cambodia</t>
  </si>
  <si>
    <t xml:space="preserve">    - Lao PDR</t>
  </si>
  <si>
    <t xml:space="preserve">    - Myanmar</t>
  </si>
  <si>
    <t xml:space="preserve">    - Vietnam</t>
  </si>
  <si>
    <t xml:space="preserve">    - Mongolia</t>
  </si>
  <si>
    <t xml:space="preserve">    - Timor Leste</t>
  </si>
  <si>
    <t>Trade, Services &amp; Investment</t>
  </si>
  <si>
    <t xml:space="preserve">    - Bhutan</t>
  </si>
  <si>
    <t xml:space="preserve">    - China</t>
  </si>
  <si>
    <t xml:space="preserve">    - Indonesia</t>
  </si>
  <si>
    <t xml:space="preserve">    - Philippines</t>
  </si>
  <si>
    <t xml:space="preserve">    - Bangladesh</t>
  </si>
  <si>
    <t xml:space="preserve">    - Nepal</t>
  </si>
  <si>
    <t xml:space="preserve">    - Sri Lanka</t>
  </si>
  <si>
    <t xml:space="preserve">  (No. : Persons, Value : '000 Baht)</t>
  </si>
  <si>
    <t>Project</t>
  </si>
  <si>
    <t>Cambodia</t>
  </si>
  <si>
    <t xml:space="preserve"> - Special Project</t>
  </si>
  <si>
    <t xml:space="preserve"> - Development Project</t>
  </si>
  <si>
    <t>Sub-Total</t>
  </si>
  <si>
    <t>Lao PDR</t>
  </si>
  <si>
    <t>Vietnam</t>
  </si>
  <si>
    <t xml:space="preserve">   - Education</t>
  </si>
  <si>
    <t>The Teaching Thai Language at the University of Danang</t>
  </si>
  <si>
    <t>Natural Resources and Environment</t>
  </si>
  <si>
    <t xml:space="preserve"> </t>
  </si>
  <si>
    <t>1. EAST ASIA</t>
  </si>
  <si>
    <t xml:space="preserve">   - Thai to China</t>
  </si>
  <si>
    <t>Training</t>
  </si>
  <si>
    <t>Total</t>
  </si>
  <si>
    <t xml:space="preserve">    (No. : Persons, Value : '000 Baht)</t>
  </si>
  <si>
    <t xml:space="preserve">    - Malaysia</t>
  </si>
  <si>
    <t xml:space="preserve">    - Maldives</t>
  </si>
  <si>
    <t xml:space="preserve">    - Pakistan</t>
  </si>
  <si>
    <t xml:space="preserve">    - Kenya</t>
  </si>
  <si>
    <t xml:space="preserve">    - Sudan</t>
  </si>
  <si>
    <t xml:space="preserve">    - Uganda</t>
  </si>
  <si>
    <t>Cooperation Partner</t>
  </si>
  <si>
    <t>Project/Course</t>
  </si>
  <si>
    <t>Sector</t>
  </si>
  <si>
    <t>Beneficiary</t>
  </si>
  <si>
    <t>JICA</t>
  </si>
  <si>
    <t>UNFPA</t>
  </si>
  <si>
    <t xml:space="preserve"> (No. : Persons, Value : '000 Baht)</t>
  </si>
  <si>
    <t>1. THE FOUR NEIGHBORING COUNTRIES :</t>
  </si>
  <si>
    <t xml:space="preserve">    - Tanzania</t>
  </si>
  <si>
    <t>Project Name</t>
  </si>
  <si>
    <t>2. OTHERS</t>
  </si>
  <si>
    <t xml:space="preserve">      (No. : Person, Value : '000 Baht)</t>
  </si>
  <si>
    <t>Cooperation Framework**</t>
  </si>
  <si>
    <t>7. CIS</t>
  </si>
  <si>
    <t>8. LATIN AMERICA</t>
  </si>
  <si>
    <t>*  :  Only Fellowships</t>
  </si>
  <si>
    <t xml:space="preserve"> *  :  Only Fellowship</t>
  </si>
  <si>
    <t xml:space="preserve"> ****  :  DC &amp; LDC Meeting, Study and Research, Thai Participants</t>
  </si>
  <si>
    <t xml:space="preserve"> ***  :  No. of Participants facilitated by TICA</t>
  </si>
  <si>
    <t xml:space="preserve">1. THE FOUR NEIGHBOURING COUNTRIES </t>
  </si>
  <si>
    <t xml:space="preserve">   - Fiji</t>
  </si>
  <si>
    <t>Industry</t>
  </si>
  <si>
    <t xml:space="preserve">    - Fiji</t>
  </si>
  <si>
    <t>Justice</t>
  </si>
  <si>
    <t xml:space="preserve">  - Education</t>
  </si>
  <si>
    <t xml:space="preserve">  - Public Health</t>
  </si>
  <si>
    <t xml:space="preserve">  - Agriculture</t>
  </si>
  <si>
    <t xml:space="preserve">   - Swaziland</t>
  </si>
  <si>
    <t>Communication</t>
  </si>
  <si>
    <t xml:space="preserve">   - Botswana</t>
  </si>
  <si>
    <t>The Teaching Thai Language at the College of Foreign Languages, VNU, Hanoi</t>
  </si>
  <si>
    <t xml:space="preserve">   - Argentina</t>
  </si>
  <si>
    <t xml:space="preserve">** :  DC &amp; LDC Meeting, Study and Research, Thai Participants </t>
  </si>
  <si>
    <t>10. OTHERS****</t>
  </si>
  <si>
    <t>ACMECS</t>
  </si>
  <si>
    <t>GMS</t>
  </si>
  <si>
    <t>**  :  ACMECS, BIMSTEC, GMS</t>
  </si>
  <si>
    <t>Sub Total</t>
  </si>
  <si>
    <t xml:space="preserve">Energy </t>
  </si>
  <si>
    <t>โครงการพัฒนาหลักสูตรนานาชาติระดับปริญญาโท สาขาการศึกษาทางด้านการพัฒนาของมหาวิทยาลัยแห่งชาติลาว</t>
  </si>
  <si>
    <t>The Project on Training Program in Technology of Medicine &amp; Public Health Personnel from Lao PDR initiated by HRH Princess Maha Chakri Sirindhorn Phrase II</t>
  </si>
  <si>
    <t>Curriculum Development in Teaching Thai Language at Yangon University of Foreign Language</t>
  </si>
  <si>
    <t xml:space="preserve">   - Costa Rica</t>
  </si>
  <si>
    <t xml:space="preserve">    - Chile</t>
  </si>
  <si>
    <t>GTZ</t>
  </si>
  <si>
    <t>โครงการพัฒนาศักยภาพในด้านการเกษตรของมหาวิทยาลัยจำปาสัก</t>
  </si>
  <si>
    <t>โครงการพัฒนาบุคลากรคณะเกษตรนาบง มหาวิทยาลัยแห่งชาติลาว</t>
  </si>
  <si>
    <t xml:space="preserve">  - Social Development &amp; Welfare</t>
  </si>
  <si>
    <t xml:space="preserve">   - El Salvador</t>
  </si>
  <si>
    <t xml:space="preserve">   - Paraguay</t>
  </si>
  <si>
    <t>* Unclassified Recipient Country</t>
  </si>
  <si>
    <t xml:space="preserve">    - Argentina</t>
  </si>
  <si>
    <t xml:space="preserve">   - Cook Islands</t>
  </si>
  <si>
    <t xml:space="preserve">   - Ethiopia</t>
  </si>
  <si>
    <t>โครงการพัฒนาคณะพยาบาลศาสตร์ มหาวิทยาลัยวิทยาศาสตร์ สุขภาพ</t>
  </si>
  <si>
    <t>โครงการพัฒนาหลักสูตรการสอนภาษาไทย ณ ม. พนมเปญ</t>
  </si>
  <si>
    <t xml:space="preserve">     - Argentina</t>
  </si>
  <si>
    <t xml:space="preserve">     -  Kenya</t>
  </si>
  <si>
    <t xml:space="preserve">     -  Madagascar</t>
  </si>
  <si>
    <t xml:space="preserve">     -  Peru</t>
  </si>
  <si>
    <t xml:space="preserve">     - Senegal</t>
  </si>
  <si>
    <t xml:space="preserve">2. SOUTHEAST ASIA </t>
  </si>
  <si>
    <t xml:space="preserve">    - Seychelles</t>
  </si>
  <si>
    <t>Fellowship (IR)</t>
  </si>
  <si>
    <r>
      <t>No.</t>
    </r>
    <r>
      <rPr>
        <b/>
        <vertAlign val="superscript"/>
        <sz val="14"/>
        <rFont val="Cordia New"/>
        <family val="2"/>
      </rPr>
      <t>***</t>
    </r>
  </si>
  <si>
    <t xml:space="preserve">   - Seychelles</t>
  </si>
  <si>
    <t xml:space="preserve">    - Eritrea</t>
  </si>
  <si>
    <t xml:space="preserve">  - Natural Resources &amp; Environment</t>
  </si>
  <si>
    <t>แผนงานโครงการความร่วมมือมหาวิทยาลัยเชียงใหม่ กับ มหาวิทยาลัยสุพานุวง</t>
  </si>
  <si>
    <t>- โครงการพัฒนาหลักสูตรปรุงแต่งกสิกรรม (Agro- Processing) มหาวิทยาลัยสุพานุวง</t>
  </si>
  <si>
    <t>โครงการพัฒนาวิทยาลัยพลศึกษา สาขาการจัดการกีฬา และการสอนกีฬา</t>
  </si>
  <si>
    <t>โครงการพัฒนาวิทยาลัยศิลปศึกษา</t>
  </si>
  <si>
    <t>โครงการพัฒนาห้องปฎิบัติการวิจัยโรคปลา</t>
  </si>
  <si>
    <t>โครงการตามแผนงานความร่วมมือระยะยาวด้านอาชีวศึกษา</t>
  </si>
  <si>
    <t>โครงการพัฒนาห้องปฏิบัติการวิเคราะห์คุณภาพอาหารสัตว์</t>
  </si>
  <si>
    <t>โครงการความร่วมมือไทย-ลาว เพื่อพัฒนาทรัพยากรธรณีอย่างยั่งยืน</t>
  </si>
  <si>
    <t>โครงการพระราชทานความช่วยเหลือแก่กัมพูชาด้านสาธารณสุข (มาเลเรีย)</t>
  </si>
  <si>
    <t>Cooperation Framework</t>
  </si>
  <si>
    <t xml:space="preserve"> - Education</t>
  </si>
  <si>
    <t xml:space="preserve"> - Agriculture</t>
  </si>
  <si>
    <t xml:space="preserve"> - Public Health</t>
  </si>
  <si>
    <t xml:space="preserve"> - Sciences &amp; Technology</t>
  </si>
  <si>
    <t xml:space="preserve">    - Gambia</t>
  </si>
  <si>
    <t xml:space="preserve">    - Malawi</t>
  </si>
  <si>
    <t xml:space="preserve">   - Eritrea</t>
  </si>
  <si>
    <t xml:space="preserve">   - Guinea</t>
  </si>
  <si>
    <t xml:space="preserve">   - Palestine</t>
  </si>
  <si>
    <t xml:space="preserve">     -  Morocco</t>
  </si>
  <si>
    <t xml:space="preserve"> *  :   Thai Participants</t>
  </si>
  <si>
    <t xml:space="preserve">     - Uganda</t>
  </si>
  <si>
    <t>\\\\\\\\\\\\\\\\\\\\\\\\\\\\\\\\\\\\\\\\\\\\\\\\\\\\\\\\\\\\\\\\\\\\\\\\\\\\\\\\\\\\\\\\\\\\\\\\\\\\\\\\\\\\\\\\\\\\\\\\\\\\\\\\\\\\\\\\\\\\\\\\\\\\\\\\\\\\\\\\\\\\\\\\\\\\\\\\\\\\\\\\\\\\\\\\\\\\\\\\\\\\\\\\\\\\\\\\\\\\\\\\\\\\\\\\\\\\\\\\\\\\\\\\\\\\\\\\\\\\\\\\\\\\\\\\\\\\\\\\\\\\\\\\\\\\\\\\\\\\\\\\\\\\\\\\\\\\\\\\\\\\\\\\\\\\\\\\\\\\\\\\\\\\\\\\\\\\\\\\\\\\\\\\\\\\\\\\\\\\\\\\\\\\\\\\\\\\\\\\\\\\\\\\\\\\\\\\\\\\\\\\\\\\\\\\\\\\\\\\\\\\\\\\\\\\\\\\\\\\\\\\\\\\\\\\\\\\\\\\\\\\\\\\\\\\\\\\\\\\\\\\\\\\\\\\\\\\\\\\\\\\\\\\\\\\\\\\\\\\\\\\\\\\\\\\\\\\\\\\\\\\\\\\\\\\\\\\\\\\\\\\\\\\\\\\\\\\\\\\\\\\\\\\\\\\\\\\\\\\\\\\\\\\\\\\\\\\\\\\\\\\\\\\\\\\\\\\\\\\\\\\\\\\\\\\\\\\\\\\\\\\\\\\\\\\\\\\\\\\\\\\\\\\\\\\\\\\\\\\\\\\\\\\\\\\\\\\\\\\\\\\\\\\\\\\\\\\\\\\\\\\\\\\\\\\\\\\\\\\\\\\\\\\\\\\\\\\\\\\\\\\\\\\\\\\\\\\\\\\\\\\\\\\\\\\\\\\\\\\\\\\\\\\\\\\\\\\\\\\\\\\\\\\\\\\\\\\\\\\\\\\\\\\\\\\\\\\\\\\\\\\\\\\\\\\\\\\\\\\\\\\\\\\\\\\\\\\\\\\\\\\\\\\\\\\\\\\\\\\\\\\\\\\\\\\\\\\\\\\\\\\\\\\\\\\\\\\\\\\\\\\\\\\\\\\\\\\\\\\\\\\\\\\\\\\\\\\\\\\\\\\\\\\\\\\\\\\\\\\\\\\\\\\\\\\\\\\\\\\\\\\\\\\\\\\\\\\\\\\\\\\\\\\\\\\\\\\\\\\\\\\\\\\\\\\\\\\\\\\\\\\\\\\\\\\\\\\\\\\\\\\\\\\\\\\\\\\\\\\\\\\\\\\\\\\\\\\\\\\\\\\\\\\\\\\\\\\\\\\\\\\\\\\\\\\\\\\\\\\\\\\\\\\\\\\\\\\\\\\\\\\\\\\\\\\\\\\\\\\\\\\\\\\\\\\\\\\\\\\\\\\\\\\\\\\\\\\\\\\\\\\\\\\\\\\\\\\\\\\\\\\\\\\\\\\\\\\\\\\\\\\\\\\\\\\\\\\\\\\\\\\\\\\\\\\\\\\\\\\\\\\\\\\\\\\\\\\\\\\\\\\\\\\\\\\\\\\\\\\\\\\\\\\\\\\\\\\\\\\\\\\\\\\\\\\\\\\\\\\\\</t>
  </si>
  <si>
    <t>\\\\\\\\\\\\\\\\\\\\\\\\\\\\\\\\\\\\\\\\\\\\\\\\\\\\\\\\\\\\\\\\\\\\\\\\\\\\\\\\\\\\\\\\\\\\\\\\\\\\\\\\\\\\\\\\\\\\\\\\\\\\\\\\\\\\\\\\\\\\\\\\\\\\\\\\\\\\\\\\\\\\\\\\\\\\\\\\\\\\\\\\\\\\\\\\\\\\\\\\\\\\\\\\\\\\\\\\\\\\\\\\\\\\\\\\\\\\\\\\\\\\\\\\\\\\\\\\\\\\\\\\\\\\\\\\\\\\\\\\\\\\\\\\\\\\\\\\\\\\\\\\\\\\\\\\\\\\\\\\\\\\\\\\\\\\\\\\\\\\\\\\\\\\\\\\\\\\\\\\\\\\\\\\\\\\\\\\\\\\\\\\\\\\\\\\\\\\\\\\\\\\\\\\\\\\\\\\\\\\\\\\\\\\\\\\\\\\\\\\\\\\\\\\\\\\\\\\\\\\\\\\\\\\\\\\\\\\\\\\\\\\\\\\</t>
  </si>
  <si>
    <t>\\\\\\\\\\\\\\\\\\\\\\\\\\\\\\\\\\\\\\\\\\\\\\\\\\\\\\\\\</t>
  </si>
  <si>
    <t>\\\\\\\\\\\\\\\\\\\\\\\\\\\\\\\\\\\\\\\\\\\\\\\\\\\\\\\\\\\\\\\\\\\\\\\\\\\\\\\\\\\\\\\\\\\\\\\\\\\\\\\\\\\\\\\\\\\\\\\\\\\\\\\\\\\\\\\\\\\\\\\\\\\\\\\\\\\\\\\\\\\\\\\\\\\\\\\\\\\\\\\\\\\\\\\\\\\\\\\\\\\\\\\\\\\\\\\\\\\\\\\\\\\\\\\\\\\\\\\\\\\\\\\\\\\\\\\\\\\\\\\\\\\\\\\\\\\\\\\\\\\\\\\\\\\\\\\\\\\\\\\\\\\\\\\\\\\\\\\\\\\\\\\\\\\\\\\\\\\\\\\\\\\\\\\\\\\\\\\\\\\\\\\\\\\\\\\\\\\\\\\\\\\\\\\\\\\\\\\\\\\\\\\\\\\\\\\\\\\\\\\\\\\\\</t>
  </si>
  <si>
    <t>\\\\\\\\\\\\\\\\\\\\\\\\\\\\\\\\\\\\\\\\\\\\\\\\\\\\\\\\\\\\\\\\\\\\\\\\\\\\\\\\\\\\\\\\\\\\\\\\\\\\\\\\\\\\\\\\\\\\\\\\\\\\\\\\\\\\\\\\\\\\\\\\\\\\\\\\\\\\\\\\\\\\\\\\\\\\\\\\\\\\\\\\\\\\\\\\\\\\\\\\\\\\\\\\\\\\\\\\\\\\\\\\\\\\\\\\\\\\\\\\\\\\\\\\\\\\\\\\\\\\\\\\\\\\\\\\\\\\\\\\\\\\\\\\\\\\\\\\\\\\\\\\\\\\\\\\\\\\\\\\\\\\\\\\\\\\\\\\\\\\\\\\\\\\\\\\\\\\\\\\\\\\\\\\\\\\\\\\\\\\\\\\\\\\\\\\\\\\\\\\\\\\\\\\\\\\\\\\\\\\\\\\\\\\\\\\\\\\\\\\\\\\\\\\\\\\\\\\\\\\\\\\\\\\\\\\\\\\\\\\\\\\\\\\\\\\\\\\\\\\\\\\\\\\\\\\\\\\\\\\\\\\\\\\\\\\\\\\\\\\\\\\\\\\\\\\\\\\\\\\\\\\\\\\\\\\\\\\\\\\\\\\\\\\\\\\\\\\\\\\\\\\\\\\\\\\\\\\\\\\\\\\\\\\\\\\\\\\\\\\\\\\\\\\\\\\\\\\\\\\\\\\\\\\\\\\\\\\\\</t>
  </si>
  <si>
    <t>Food Security-Postharvest, Processing and Quality Assurance of Selected Agro-Industrial Products</t>
  </si>
  <si>
    <t>Modern Technology for Sustainable Agricultural Systems</t>
  </si>
  <si>
    <t>Utilizing Indigenous Food Resources for Food Security</t>
  </si>
  <si>
    <t xml:space="preserve">   - Cuba</t>
  </si>
  <si>
    <t xml:space="preserve">   - Samoa</t>
  </si>
  <si>
    <t>โครงการพัฒนาสื่ออิเล็กทรอนิกส์เพื่อการเรียนการสอนระดับมัธยมศึกษาตอนปลาย</t>
  </si>
  <si>
    <t>โครงการพัฒนาโรงพยาบาลเมืองปากซอง</t>
  </si>
  <si>
    <t xml:space="preserve">  - Public Administration</t>
  </si>
  <si>
    <t>Transportation</t>
  </si>
  <si>
    <t>School under Her Royal Highness Princess Maha Chakri Sirindhorn Sponsorship to Contribute to Education for the Kingdom of Cambodia  (วิทยาลัยกำปงเฌอเตียล)</t>
  </si>
  <si>
    <t xml:space="preserve">   - Oman</t>
  </si>
  <si>
    <t>Myanmar</t>
  </si>
  <si>
    <t xml:space="preserve">   - Eritea</t>
  </si>
  <si>
    <t xml:space="preserve">     - Tanzania</t>
  </si>
  <si>
    <t>Other</t>
  </si>
  <si>
    <t xml:space="preserve">      - Eritea</t>
  </si>
  <si>
    <t xml:space="preserve">      - Botswana</t>
  </si>
  <si>
    <t xml:space="preserve">     - Colombia</t>
  </si>
  <si>
    <t>-  Agricuture</t>
  </si>
  <si>
    <t>Global Warming Mitigation and Adaptation by Balancing Sustainable Energy Management (GSEM)</t>
  </si>
  <si>
    <t xml:space="preserve">Towards Green Growth with Waste Utilization </t>
  </si>
  <si>
    <t xml:space="preserve">    - Bahamas</t>
  </si>
  <si>
    <t xml:space="preserve">   - Georgia</t>
  </si>
  <si>
    <t xml:space="preserve">    - Vanuatu</t>
  </si>
  <si>
    <t>3. SOUTH ASIA AND MIDDLE EAST</t>
  </si>
  <si>
    <t>5. AFRICA</t>
  </si>
  <si>
    <t xml:space="preserve">    - El Salvador</t>
  </si>
  <si>
    <t xml:space="preserve">    - Guinea</t>
  </si>
  <si>
    <t>4. THE PACIFIC</t>
  </si>
  <si>
    <t xml:space="preserve"> - Public Administration</t>
  </si>
  <si>
    <t>โครงการโรงเรียนมัธยมสมบูรณ์เมืองเวียงไช แขวงหัวพัน</t>
  </si>
  <si>
    <t>โครงการพัฒนาโรงพยาบาลเมืองโพนโฮง</t>
  </si>
  <si>
    <t xml:space="preserve">  - Information Technology</t>
  </si>
  <si>
    <t>โครงการปรับปรุงระบบสื่อสารข้อมูลข่าวสารอุตุนิยมวิทยาด้วยเทคนิค Web-Base และระบบพื้นฐานโครงร่าง IT</t>
  </si>
  <si>
    <t>โครงการพัฒนาสถาบันผู้บริหารการพัฒนาการศึกษา</t>
  </si>
  <si>
    <t>โครงการพัฒนาโรงเรียนเทคนิควิชาชีพแขวงสะหวันนะเขต</t>
  </si>
  <si>
    <t xml:space="preserve">  - Communication</t>
  </si>
  <si>
    <t>โครงการสอนภาษาไทย ณ ม. เมียนเจย</t>
  </si>
  <si>
    <t>โครงการ Buffalo Development in Myanmar</t>
  </si>
  <si>
    <t>โครงการ Foot and Mouth Disease (FMD) Vaccine</t>
  </si>
  <si>
    <t>The Teaching Thai Language at the University of Hojiminh</t>
  </si>
  <si>
    <t xml:space="preserve">- ค่าใช้จ่ายในการหารือการจัดตั้ง Thai Center </t>
  </si>
  <si>
    <t xml:space="preserve">   - Trade, Services &amp; Investment</t>
  </si>
  <si>
    <t>โครงการพัฒนาบุคลากรศูนย์เทคโนโลยีข่าวสารการศึกษาและกีฬา</t>
  </si>
  <si>
    <t>โครงการการจัดทำโรงเรียนต้นแบบการพัฒนาคุณภาพชีวิตเด็กและเยาวชนสำหรับครูจากเมียนมาร์ ในการพัฒนาเด็กและเยาวชนตามพระราชดำริฯ</t>
  </si>
  <si>
    <t xml:space="preserve">   - Panama</t>
  </si>
  <si>
    <t xml:space="preserve">     -  Mozambique</t>
  </si>
  <si>
    <t xml:space="preserve">      - Ethiopia</t>
  </si>
  <si>
    <t xml:space="preserve">    - Nigeria</t>
  </si>
  <si>
    <t>5. OTHERS*</t>
  </si>
  <si>
    <t>6. LATIN AMERICA</t>
  </si>
  <si>
    <t xml:space="preserve">  -  Eritea</t>
  </si>
  <si>
    <t xml:space="preserve">   - Vanuatu</t>
  </si>
  <si>
    <t xml:space="preserve">   - Bahamas</t>
  </si>
  <si>
    <t>Early Childhood Health Care Management</t>
  </si>
  <si>
    <t>Tropical Medicine Community Health Care and Research</t>
  </si>
  <si>
    <t xml:space="preserve"> - Natural Resources and Environment</t>
  </si>
  <si>
    <t>Seed Coating Technology with Medicinal Plants Extract to Prevent Disease in Organic Cultivation</t>
  </si>
  <si>
    <t xml:space="preserve">Sino - Thai Hybrid Rice Technology Cooperation </t>
  </si>
  <si>
    <t>Biocontrol of China - Thai Tephritid Pests Towards Area - Wide Integrated Pest Management</t>
  </si>
  <si>
    <t xml:space="preserve">    - Afghanistan</t>
  </si>
  <si>
    <t xml:space="preserve">    - Botswana</t>
  </si>
  <si>
    <t xml:space="preserve">    - Comoros</t>
  </si>
  <si>
    <t xml:space="preserve">   - Ghana</t>
  </si>
  <si>
    <t xml:space="preserve">    - Ghana</t>
  </si>
  <si>
    <t xml:space="preserve">    - Lesotho</t>
  </si>
  <si>
    <t xml:space="preserve">    - Colombia</t>
  </si>
  <si>
    <t xml:space="preserve">    - Costa Rica</t>
  </si>
  <si>
    <t xml:space="preserve">    - Swaziland</t>
  </si>
  <si>
    <t>+</t>
  </si>
  <si>
    <t xml:space="preserve">    - Togo</t>
  </si>
  <si>
    <t>โครงการพัฒนาโรงพยาบาลแขวงบ่อแก้ว ระยะที่ 2</t>
  </si>
  <si>
    <t>โครงการก่อสร้างศูนย์แรกรับผู้เสียหายจากการค้ามนุษย์ไทย-ลาว</t>
  </si>
  <si>
    <t xml:space="preserve">โครงการพัฒนาวิทยาลัยเทคนิคแขวงเวียงจันทน์ </t>
  </si>
  <si>
    <t>โครงการหมู่บ้านเข้มแข็งคู่ขนานตามแนวชายแดนไทย-กัมพูชา</t>
  </si>
  <si>
    <t xml:space="preserve">  - Labour &amp; Employment</t>
  </si>
  <si>
    <t>โครงการจัดตั้งศูนย์พัฒนาฝีมือแรงงานไทย-กัมพูชา</t>
  </si>
  <si>
    <t>โครงการจัดตั้งศูนย์แรกรับเหยื่อค้ามนุษย์และกลุ่มเสี่ยง</t>
  </si>
  <si>
    <t>โครงการพัฒนาหลักสูตรการเรียนการสอนภาษาไทย ณ พระตะบอง</t>
  </si>
  <si>
    <t>Farmer Group Development for Improving Vegetable and Fruit Production Standard in Cambodia</t>
  </si>
  <si>
    <t>โครงการเสริมสร้างความสามารถในการจัดการและใช้ประโยชน์จากไผ่</t>
  </si>
  <si>
    <t>โครงการสำรวจพื้นที่ชายแดนฝั่งเมียนมาร์ที่มีศักยภาพในการเชื่อมโยงกับประทศไทย</t>
  </si>
  <si>
    <t>แผนงานด้านการส่งเสริมการค้าชายแดนไทย-ลาว-เวียดนาม และไทย-เมียนมาร์</t>
  </si>
  <si>
    <t>แผนงานส่งเสริมการลงทุนจากต่างประเทศของเมียนมาร์</t>
  </si>
  <si>
    <t xml:space="preserve">   -  Agriculture</t>
  </si>
  <si>
    <t>โครงการสร้างศูนย์กลางการผลิตผักคุณภาพ</t>
  </si>
  <si>
    <t>Argentina</t>
  </si>
  <si>
    <t>- Agriculture</t>
  </si>
  <si>
    <t>Bangladesh</t>
  </si>
  <si>
    <t>โครงการปรับปรุงพัฒนาหน่วยจัดทำขาเทียม ณ ร.พ. National Institute of Traumatology and Orthopedic Rehabilitation</t>
  </si>
  <si>
    <t>Bhutan</t>
  </si>
  <si>
    <t xml:space="preserve">  -  Eduaction</t>
  </si>
  <si>
    <t>โครงการพัฒนาคุณภาพชีวิตเด็กและเยาวชนสำหรับครูภูฏานตามพระราชดำริฯ</t>
  </si>
  <si>
    <t xml:space="preserve">  -  Agriculture</t>
  </si>
  <si>
    <t>โครงการส่งเสริมด้านการเกษตร โดยเน้นพัฒนาผลิตภัณฑ์ OTOP</t>
  </si>
  <si>
    <t>Capacity Development of the College of Natural Resources</t>
  </si>
  <si>
    <t>โครงการอาสาสมัครเพื่อนไทย</t>
  </si>
  <si>
    <t>Colombia</t>
  </si>
  <si>
    <t xml:space="preserve">Jordan </t>
  </si>
  <si>
    <t>- Social Development &amp; Welfare</t>
  </si>
  <si>
    <t>โครงการทำฝนหลวง</t>
  </si>
  <si>
    <t>Mozambique</t>
  </si>
  <si>
    <t>โครงการเพาะเลี้ยงปลานิลแดง</t>
  </si>
  <si>
    <t xml:space="preserve">  - Development Project</t>
  </si>
  <si>
    <t>Timor-Leste</t>
  </si>
  <si>
    <t xml:space="preserve">   - Public Administration</t>
  </si>
  <si>
    <t xml:space="preserve">โครงการจัดตั้งหมู่บ้านต้นแบบตามหลักปรัชญาเศรษฐกิจพอเพียง ณ เมืองเฮร่า </t>
  </si>
  <si>
    <t>Malaysia</t>
  </si>
  <si>
    <t>Exchange of Teachers and School Administrative for the Promote</t>
  </si>
  <si>
    <t>Tonga</t>
  </si>
  <si>
    <t>โครงการความร่วมมือด้านการเกษตรตามหลักปรัชญาของเศรษฐกิจพอเพียงในพื้นที่สำนักพระราชวังตองกา</t>
  </si>
  <si>
    <t>Indonesia</t>
  </si>
  <si>
    <t>แผนงานความร่วมมือเพื่อการพัฒนาไทย-ภูฏานปี 57- 59</t>
  </si>
  <si>
    <t>โครงการพืชอาหารสัตว์และเพิ่มผลผลิตโคเนื้อ</t>
  </si>
  <si>
    <t>โครงการด้านการเลี้ยงผึ้ง ผลิตภัณฑ์ผึ้งและการตลาด</t>
  </si>
  <si>
    <t xml:space="preserve">โครงการ RNAi or Related Techniques in Plant Biotechnology </t>
  </si>
  <si>
    <t xml:space="preserve">โครงการความร่วมมือด้าน Rural Development </t>
  </si>
  <si>
    <t>โครงการพัฒนาศักยภาพด้านนิติวิทยาศาสตร์ระหว่างไทย - อาร์เจนตินา</t>
  </si>
  <si>
    <t>Philippines</t>
  </si>
  <si>
    <t>โครงการพัฒนาเด็กและเยาวชนสำหรับคณะผู้บริหารและครูจากฟิลิปปินส์</t>
  </si>
  <si>
    <t>Ethiopia (1), Ghana (1), Jamaica (2), Kazakhstan (1), Mexico (1), Nepal (1), Pakistan (1), Paraguay (1), Sri Lanka (1), Sudan (1), Uzbekistan(1)</t>
  </si>
  <si>
    <t>Buakaew Roundtable International 2015 สำหรับผู้บริหารระดับสูงของประเทศหมู่เกาะแปซิฟิก</t>
  </si>
  <si>
    <t>Fiji(2), Kiribati (2), Palau (1), Samoa (2), Slomom Islands (2), Tonga (3), Vanuatu (4)</t>
  </si>
  <si>
    <t>บัวแก้วสัมพันธ์ปี 2014 เศรษฐกิจพอเพียงและ OTOP ให้กลุ่มประเทศเอเซียใต้ ตะวันออกกลาง แอฟริกา และลาตินอเมริกา</t>
  </si>
  <si>
    <t>Chile (1), Colombia (2), Costa Rica (1), Dominican Republic (1), El Salvador (1), Guatemala (1), Loa PDR (1), Mexico (1), Myanmar (1), Panama (1), Paraguay (1), Peru (1)</t>
  </si>
  <si>
    <t>Buakaew Roundtable International 2013 ( Sufficiency Economy and OTOP)</t>
  </si>
  <si>
    <t>Afganistan (1), Argentina (1), Bangladesh (1), Bhutan (1) Chile (1), Colombia (1), Egypt (1), El Salvador (1), Guinea (1), Iran (1), Jordan (1), Kenya (1), Madagascar(1), Maldives(1), Mexico (1),Nepal (1), Oman (1), Palestine (1),  Paraguay (1), Sri Lanka (1), Uganda (1), Yemen (1)</t>
  </si>
  <si>
    <t xml:space="preserve">Sufficiency Economy </t>
  </si>
  <si>
    <t>Passage from Sufficiency Economy to Sustainable Development of Africa</t>
  </si>
  <si>
    <t>Kenya (5), Madagascar (2), Rwanda (1), Tanzania (2), Uganda(2)</t>
  </si>
  <si>
    <t>Buakaew Roundtable International 2015 (Sufficiency Economy and Crop Substitution 2015 ให้กลุ่มประเทศเอเซียใต้ ตะวันออกกลาง แอฟริกา และลาตินอเมริกา)</t>
  </si>
  <si>
    <t xml:space="preserve">   - Tonga</t>
  </si>
  <si>
    <t xml:space="preserve">   - Kiribati</t>
  </si>
  <si>
    <t xml:space="preserve">   - Kazakhstan</t>
  </si>
  <si>
    <t xml:space="preserve">   - Kyrgyzstan</t>
  </si>
  <si>
    <t xml:space="preserve">   - Comoros</t>
  </si>
  <si>
    <t xml:space="preserve">   - Jamaica</t>
  </si>
  <si>
    <t xml:space="preserve">   - Lesotho</t>
  </si>
  <si>
    <t xml:space="preserve">   - Afghanistan</t>
  </si>
  <si>
    <t xml:space="preserve">   - Palau</t>
  </si>
  <si>
    <t xml:space="preserve">   - Brunei</t>
  </si>
  <si>
    <t xml:space="preserve">   - Solomon Islands</t>
  </si>
  <si>
    <t xml:space="preserve">   - Cameroon</t>
  </si>
  <si>
    <t xml:space="preserve">   - Togo</t>
  </si>
  <si>
    <t xml:space="preserve">   - Congo</t>
  </si>
  <si>
    <t xml:space="preserve">   - Mauritania</t>
  </si>
  <si>
    <t xml:space="preserve">   - Russia</t>
  </si>
  <si>
    <t xml:space="preserve">   - Trinidad and Tobago</t>
  </si>
  <si>
    <t xml:space="preserve">   - Zimbabwe</t>
  </si>
  <si>
    <t>โครงการสนับสนุนการสร้างอาชีพ สำหรับผู้ได้รับผลกระทบจากสถานการณ์รัฐยะไข่</t>
  </si>
  <si>
    <t>โครงการพัฒนาเขตเศรษฐกิจพิเศษทวายและพื้นที่โครงการที่เกี่ยวข้อง</t>
  </si>
  <si>
    <t>-  Study Visit on Hospital Management and Health Service System for Administrators</t>
  </si>
  <si>
    <t>Other *</t>
  </si>
  <si>
    <t>โครงการพระราชดำริเพื่อร่วมมือและแลกเปลี่ยนประสบการณ์ด้านวิชาการกับต่างประเทศของสถาบันวิจัยจุฬาภรณ์</t>
  </si>
  <si>
    <t xml:space="preserve"> -  Social Development &amp; Welfare</t>
  </si>
  <si>
    <t>โครงการพัฒนาทรัพยากรมนุษย์ด้านกีฬา</t>
  </si>
  <si>
    <t xml:space="preserve">  - Economic</t>
  </si>
  <si>
    <t>โครงการศึกษาทางไกลพระราชทานระบบ eDLTV</t>
  </si>
  <si>
    <t>- Education</t>
  </si>
  <si>
    <t xml:space="preserve">5. PACIFIC </t>
  </si>
  <si>
    <t>Public Haelth</t>
  </si>
  <si>
    <t>3. OTHERS</t>
  </si>
  <si>
    <t>4.  THE PACIFIC</t>
  </si>
  <si>
    <t xml:space="preserve">    - Madagascar</t>
  </si>
  <si>
    <t xml:space="preserve">    - Cote D'lvoire</t>
  </si>
  <si>
    <t>Others * : DC LDC Meeting, Study and Research , Thai Participants and Unclassified Recipient Country</t>
  </si>
  <si>
    <t xml:space="preserve">   - Cote D'lvoire</t>
  </si>
  <si>
    <t xml:space="preserve">      - Comoros</t>
  </si>
  <si>
    <t xml:space="preserve">      - Fiji</t>
  </si>
  <si>
    <t xml:space="preserve">     - Jamaica</t>
  </si>
  <si>
    <t xml:space="preserve">      - Kiribati</t>
  </si>
  <si>
    <t xml:space="preserve">     -  Lesotho</t>
  </si>
  <si>
    <t xml:space="preserve">      - Samoa</t>
  </si>
  <si>
    <t xml:space="preserve">      - Solomon Islands</t>
  </si>
  <si>
    <t xml:space="preserve">      - Tonga</t>
  </si>
  <si>
    <t xml:space="preserve">     - Uzbekistan</t>
  </si>
  <si>
    <t xml:space="preserve">      - Vanuatu</t>
  </si>
  <si>
    <t xml:space="preserve">     - Cuba</t>
  </si>
  <si>
    <t xml:space="preserve"> Project under Bilateral Programme (TICP FY 2015)                                                                                                                            </t>
  </si>
  <si>
    <t>โครงการใช้เทคโนโลยีข่าวสารและการสื่อสารสำหรับการศึกษาทางไกลผ่านโทรทัศน์และ CD/DVCD/VCD</t>
  </si>
  <si>
    <t>.</t>
  </si>
  <si>
    <t xml:space="preserve">      - Micronesia</t>
  </si>
  <si>
    <t xml:space="preserve">     -  Malawi</t>
  </si>
  <si>
    <t xml:space="preserve">Appendix I : Total Value of Thai International Cooperation Programme by type of Programme (TICP FY 2016)      </t>
  </si>
  <si>
    <t xml:space="preserve">Appendix III : Bilateral Programme (TICP FY 2016)                                                                                                                                              </t>
  </si>
  <si>
    <t xml:space="preserve">Appendix V : Project under Bilateral Programme (TICP FY 2016)                                                                                                                            </t>
  </si>
  <si>
    <t xml:space="preserve">Appendix VI : Fellowship under TIPP Programme (TICP FY 2016)                                                                                                                                    </t>
  </si>
  <si>
    <t xml:space="preserve">Appendix VII : Technical Cooperation among Developing Countries Programmes by Sector (TICP FY 2016)                                                                                                                                    </t>
  </si>
  <si>
    <t xml:space="preserve">Appendix VIII  : Technical Cooperation among Developing Countries Programmes for Joint Research Projects (TICP FY 2016)                                                                                                                                    </t>
  </si>
  <si>
    <t xml:space="preserve">Appendix IX : Annual International Training Courses Programme (TICP FY 2016)                                                                                                                                     </t>
  </si>
  <si>
    <t>Appendix XI : Trilateral and Regional Cooperation Programme (TICP FY 2016)</t>
  </si>
  <si>
    <t>Appendix XII : Trilateral and Regional Cooperation Programme (TICP FY 2016 )</t>
  </si>
  <si>
    <t>Appendix XIII : Project / Course under Cooperation Framework (TICP FY 2016 )</t>
  </si>
  <si>
    <t>Appendix XIV : Fellowship/Expert under Cooperation Framework (TICP FY 2016)</t>
  </si>
  <si>
    <t xml:space="preserve">   - Singapore</t>
  </si>
  <si>
    <t xml:space="preserve">   - Bahrain</t>
  </si>
  <si>
    <t xml:space="preserve">   - Iran</t>
  </si>
  <si>
    <t xml:space="preserve">   - Iraq</t>
  </si>
  <si>
    <t xml:space="preserve">   - Lebanon</t>
  </si>
  <si>
    <t xml:space="preserve">   - Turkey</t>
  </si>
  <si>
    <t xml:space="preserve">   - United Arab Emirates</t>
  </si>
  <si>
    <t xml:space="preserve">   - Yemen</t>
  </si>
  <si>
    <t xml:space="preserve">   - Marshall Islands</t>
  </si>
  <si>
    <t xml:space="preserve">   - Micronesia</t>
  </si>
  <si>
    <t xml:space="preserve">   - Papua new Guinea</t>
  </si>
  <si>
    <t xml:space="preserve">   - Tuvalu</t>
  </si>
  <si>
    <t xml:space="preserve">   - Angola</t>
  </si>
  <si>
    <t xml:space="preserve">   - Benin</t>
  </si>
  <si>
    <t xml:space="preserve">   - Bukina Faso</t>
  </si>
  <si>
    <t xml:space="preserve">   - Burundi</t>
  </si>
  <si>
    <t xml:space="preserve">   - Djibouti</t>
  </si>
  <si>
    <t xml:space="preserve">   - Gabon</t>
  </si>
  <si>
    <t xml:space="preserve">   - Liberia</t>
  </si>
  <si>
    <t xml:space="preserve">   - Libya</t>
  </si>
  <si>
    <t xml:space="preserve">   - Mali</t>
  </si>
  <si>
    <t xml:space="preserve">   - Namibia</t>
  </si>
  <si>
    <t xml:space="preserve">   - Niger Republic</t>
  </si>
  <si>
    <t xml:space="preserve">   - Rwanda</t>
  </si>
  <si>
    <t xml:space="preserve">   - Somalia</t>
  </si>
  <si>
    <t xml:space="preserve">   - South Africa</t>
  </si>
  <si>
    <t xml:space="preserve">   - Tunisia</t>
  </si>
  <si>
    <t xml:space="preserve">   - Armenia</t>
  </si>
  <si>
    <t xml:space="preserve">   - Azerbaijan</t>
  </si>
  <si>
    <t xml:space="preserve">   - Belarus</t>
  </si>
  <si>
    <t xml:space="preserve">   - Moldova</t>
  </si>
  <si>
    <t xml:space="preserve">   - Turkmenistan</t>
  </si>
  <si>
    <t xml:space="preserve">   - Ukraine</t>
  </si>
  <si>
    <t xml:space="preserve">   - Czech</t>
  </si>
  <si>
    <t xml:space="preserve">   - Poland</t>
  </si>
  <si>
    <t xml:space="preserve">   - Slovakia</t>
  </si>
  <si>
    <t xml:space="preserve">   - Belize</t>
  </si>
  <si>
    <t xml:space="preserve">   - Bolivia</t>
  </si>
  <si>
    <t xml:space="preserve">   - Brazil</t>
  </si>
  <si>
    <t xml:space="preserve">   - Dominica</t>
  </si>
  <si>
    <t xml:space="preserve">   - Ecuador</t>
  </si>
  <si>
    <t xml:space="preserve">   - Guatemala</t>
  </si>
  <si>
    <t xml:space="preserve">   - Korea Republic</t>
  </si>
  <si>
    <t xml:space="preserve">   - Israel</t>
  </si>
  <si>
    <t>8. EASTERN EUROPE</t>
  </si>
  <si>
    <t xml:space="preserve"> - Industry</t>
  </si>
  <si>
    <t>Technology and Equipment of Clean-Efficient Hot Galvanizing on Steel</t>
  </si>
  <si>
    <t xml:space="preserve">Agriculture Physiological Parameters Remote Sensing Retrieval Technique for Rice Acreage and Yield Estimation </t>
  </si>
  <si>
    <t>Development of Radio labeled Nanoparticles to Improve the Delivery of Radiopharmaceutical for Molecular Imaging and Theraph</t>
  </si>
  <si>
    <t xml:space="preserve"> - Energy</t>
  </si>
  <si>
    <t>Performance Enhancement of Sloped-Collector Solar Updraft Tower Power Plants</t>
  </si>
  <si>
    <t xml:space="preserve">Cooperative Projects to Develop Innovative Beverage Processing and Packaging of Rice between the Chinese Academy of Agricultural Science and Rice Department of Thailand </t>
  </si>
  <si>
    <t>Research and Development of Biofertilizer and Biocontrol to increase Cash Crop Production</t>
  </si>
  <si>
    <t>Biodiversity and Effects of Climate Change, Organophosphate Insecticide and Larval Crowding on the Development and Survival of Wolbachia-infected Mosquitoes</t>
  </si>
  <si>
    <t xml:space="preserve">Acupuncture as Adjunctive Therapy to Anesthesia in Surgical Operation </t>
  </si>
  <si>
    <t>Comparative Study of Bioactivities and Key Functional Component between Thailand Holothuria Scabra and Chinese Apostichopus Japonicas</t>
  </si>
  <si>
    <t>Geographical Identification and Antimicrobial Activity Evaluation of Honey from Longan Flower between Thailand and China</t>
  </si>
  <si>
    <t xml:space="preserve">Community Water Management in Adaptation of Climate Change </t>
  </si>
  <si>
    <t xml:space="preserve">Cordyceps Cultivation on Silkworm and Silk Pupa </t>
  </si>
  <si>
    <t>Location Tracking and Status Monitoring of Patients in Hospital and Elders in Elderly Care Home using Wireless Sensor Network, IP Camera, and Cloud Computing</t>
  </si>
  <si>
    <t xml:space="preserve">Internet of Thing Based Intelligent Quality Traceability and Control Technologies for Aquatic Products Supply Chain </t>
  </si>
  <si>
    <t>Identification of Genomic Variants in Human Genetic Disease</t>
  </si>
  <si>
    <t>Research on Extra-Skeleton Robot for Upper Limb Rehabilitation</t>
  </si>
  <si>
    <t>Promoting Exchange of China-Thailand Joint Laboratory of Chinese Traditional Veterinary Medicine</t>
  </si>
  <si>
    <t>New Varieties Breeding and Application of Jatropha with High Oil Content for Biodiesel</t>
  </si>
  <si>
    <t>ADB</t>
  </si>
  <si>
    <t>CPS</t>
  </si>
  <si>
    <t>KOICA</t>
  </si>
  <si>
    <t>Needs Assessment โครงการด้านอนามัยแม่และเด็ก  
Beneficiary : Lao PDR</t>
  </si>
  <si>
    <t xml:space="preserve">โครงการ Foot and Mouth Disease Free Zone  ณ เมืองเนปิดอว์ Myanmar
Beneficiary : Myanmar </t>
  </si>
  <si>
    <t>โครงการความร่วมมือไตรภาคีไทย ญี่ปุ่น ด้านการท่องเที่ยวปาเลสไตน์ หลักสูตร Hospitality Training
Beneficiary : Palestine</t>
  </si>
  <si>
    <t>TCTP on Strengthening of Measurement Standards Institutes of CLMV Countries Towards ASEAN Integration
Beneficiary : Cambodia (2), Lao PDR (4), Myanmar (2), Vietnam (4)</t>
  </si>
  <si>
    <t>หลักสูตร Restaurant Service  
Beneficiary : Myanmar (9)</t>
  </si>
  <si>
    <t>TCTP on Power Distribution System Engineering, Management and Technology 
Beneficiary : Cambodia (5), Lao PDR (5), Myanmar (5), Vietnam (5), Thailand (5)</t>
  </si>
  <si>
    <t>หลักสูตร Hydrology (Advanced Flood Forecasting, Flash Flood Forecasting, Remote Sensing and GIS Application in Hydrology 
Beneficiary:   Myanmar (5)</t>
  </si>
  <si>
    <t>Strengthening National Good Agricultural Practices (GAP) in Lao PDR Project
- Lao PDR GAP Database
- Workshop to review and accredit the newly-developed organization LCB 
Beneficiary :  Lao PDR</t>
  </si>
  <si>
    <t>Sufficiency Economyand Business Prmotion in the Agricultural Seter Project
Beneficiary : Timor Leste</t>
  </si>
  <si>
    <t>Strengthening Cooperative and SMEs in Central Vietnam Project  Phase II 
Beneficiary : Vietnam</t>
  </si>
  <si>
    <t>Tourism Sector Project 
Tentative Expenses for Monitoring and Evaluation on Tourism Sector 
Beneficiary : Myanmar</t>
  </si>
  <si>
    <t>Capacity building of Persons with Intellectual Disabilities with their Parents Project
Beneficiary : Cambodia (6), Lao PDR (4), Myanmar (5)</t>
  </si>
  <si>
    <t>GMS Corridor Towns Development in Myanmar Project
Beneficiary : Myanmar</t>
  </si>
  <si>
    <t>หลักสูตร TCTP  Workshop on Investment Promotion Policy for Mekong Countries towards AEC and Beyond 
Beneficiary : Cambodia (6), Lao PDR (5), Myanmar (6), Vietnam (2)</t>
  </si>
  <si>
    <t>France</t>
  </si>
  <si>
    <t>The Joint Fellowship Programme for Doctoral Students under the Royal Golden Jubilee Programme/ Biotechnology
Beneficiary : Myanmar (0)</t>
  </si>
  <si>
    <t xml:space="preserve">โครงการความร่วมมือไตรภาคีไทย-ญี่ปุ่น-แอฟริกา ด้านข้าว
</t>
  </si>
  <si>
    <t>Technical Vocational Education and Training (TVET) Project
Beneficiary : Lao PDR</t>
  </si>
  <si>
    <t>Strengthening Financial Auditing in Lao PDR 
Beneficiary : Lao PDR</t>
  </si>
  <si>
    <t>หลักสูตร Joint Training Program on Integrated Health Care Management based on PHC and Health System Strengthening Approach 
Beneficiary : Cambodia (3), Malaysia(3), Myanmar(2), Philippines (1)</t>
  </si>
  <si>
    <t>SWEDEN</t>
  </si>
  <si>
    <t>Doctoral Students 
Beneficiary : Myanmar (1)</t>
  </si>
  <si>
    <t>Training : Microfinance for Small &amp; Medium sized Enterprises (SMEs) Development in the Asia Pacific Region 
Beneficiary : Bangladesh (2), Bhutan (1), Fiji (1), Iran (1), Lao PDR (2), Malaysia (1), Nepal (2), Pakistan (3), Philippines (2), Sri Lanka (3), Thailand (4)</t>
  </si>
  <si>
    <t xml:space="preserve"> -หลักสูตร Promotion of Mechanization in Rice Sector for CARD Countries
Beneficiary : Benin (5), DR Congo (5), Guinea (5), Madagascar (5), Mali (4)</t>
  </si>
  <si>
    <t xml:space="preserve"> -หลักสูตร Environmental- Friendly RICE Production for CARD Countries, Sustainable for Rice Production
Beneficiary : Benin (6), Cote D'lvoire (4), Guinea (3), Madagascar (6), Mali (3), Republic of Congo (2), Togo (4)</t>
  </si>
  <si>
    <t xml:space="preserve">    - Democratic Republic of Congo</t>
  </si>
  <si>
    <t xml:space="preserve">    - Benin</t>
  </si>
  <si>
    <t xml:space="preserve">    - Iran </t>
  </si>
  <si>
    <t xml:space="preserve">    - Mali</t>
  </si>
  <si>
    <t xml:space="preserve">    - Palestine</t>
  </si>
  <si>
    <t>The Joint Fellowship Programme for Doctoral Students under the Royal Golden Jubilee Programme/Packaging Technology and Material
Beneficiary : Myanmar (1)</t>
  </si>
  <si>
    <t>Appendix X : Annual International Training Courses (TICP FY 2016)</t>
  </si>
  <si>
    <t>Antimicrobial Resistance and Foodborne Diseases Associated with Livestock : Risk Analysis and Responsible use</t>
  </si>
  <si>
    <t>Bangladesh (1), Costa Rica (2), Egypt (3), El Salvador (2), Jamaica (1), Malaysia (3), Mali (1), Mexico (10, Nauru (1), Sudan (1), Togo (2), Zimbabwe (1)</t>
  </si>
  <si>
    <t>Bangladesh (1), Chile (1), Egypt (1), Indonesia (1), Jamaica (2), Morocco (1), Papua New Guinea (1), Solomon Island (2),Tajikistan (1), Togo (1), Tonga (2), Zambia (1)</t>
  </si>
  <si>
    <t>Chile (1), Egypt (3), Indoneia (4), Mali (2), Sudan (1), Togo (2), Tonga (2), Tunisia (1)</t>
  </si>
  <si>
    <t xml:space="preserve">Royal Initiatives on Agriculture for Sustainable Development </t>
  </si>
  <si>
    <t>Bangladesh (1), Cambodia (1), Congo (1), Guinea (1), Jordan (1), Kyrgyzstan (1), Liberia (1), Maldives (1), Mali (1), Myanmar (1) Nigeria (1), Palestine (1), Philippines (1), Samoa (1), Sri Lanka (1), Togo (1), Vietnam (1)</t>
  </si>
  <si>
    <t>Sufficiency  Economy : Learning Organic Agriculture by Doing</t>
  </si>
  <si>
    <t>Afghanistan (1), Bahamas (1), Bangladesh (2),Botswana (1), Chile (1), Colombia (1), Costa Rica (1), Egypy (2), Guniea (1), Indonesia (1), Mali (1), Mauritius (1), Mexico (1), Paraguay (1), Sri Lanka (1), Thailand (2), Uzbekistan (2)</t>
  </si>
  <si>
    <t>Botswana (2), Chile (1), Guinea (2), Indonesia (1), South Sudan (2), Togo (1), Tonga (2)</t>
  </si>
  <si>
    <t xml:space="preserve">Bahamas (3), Bangladesh (2), Chile (4), Egypt (2), Ghana (1), Guatemala (3), Tonga (1) </t>
  </si>
  <si>
    <t>Argentina (1), Ghana (2), Guatemala (1), Indonesia (2), Liberia (2), Montenegro (2), Panama (1), Philippines (1), Sri Lanka (3), Togo (1), Tonga (2)</t>
  </si>
  <si>
    <t>Community Health Management and Empowerment to Promote Healthy Communities 2015</t>
  </si>
  <si>
    <t>Bahamas (1), Bangladesh (1), Chile (1), Fiji (1), Georgia (1), Mexico (1), Morocco (1), Pakistan (1), Plestine (1), Paraguay (1), Peru (1), Sri Lanka (1), Thailand (2), Zimbabwe (1)</t>
  </si>
  <si>
    <t>Community Health Management and Empowerment to Promote Healthy Communities 2016</t>
  </si>
  <si>
    <t>Cook Island (1), Costa Rica (2), El Salvador (2), Guatemala (1), Mali (1), Morocco (1), Philippines (1), Rwanda (2), Solomon Island (2), Togo (2)</t>
  </si>
  <si>
    <t>Bahamas (3), Bangladesh (1), Cook Island (2), Egypt (1), Ethiopia (1), Nepal (1), Palestine (1), Togo (2)</t>
  </si>
  <si>
    <t>Chile (2), Cook Island (1), Costa Rica (2), Egypt  (2), El Salvador (1), Fiji (2), Malawi (2), Mexico (1), Morocco (1),Oman (1), Zambia (1)</t>
  </si>
  <si>
    <t xml:space="preserve">Grassroots Economic Development (GED) following Sufficiency Economy </t>
  </si>
  <si>
    <t>Argentina (1), Cmabodia (2), Costa Rica (1), Fiji (2), Lao PDR (2), Malawi (1), Mexico (1), Mozambique (2), Philippines (2), Vietnam (1)</t>
  </si>
  <si>
    <t>Household Food Security for Nutrition Well-being</t>
  </si>
  <si>
    <t>Benin(1), Botswana (1), Egypt (1), Indonesia (1), Jordan (1), Maldives (1), Mauritius (1), Mexico (1), Nepal (1), Palestine (1), Peru (1), Philippines (1), Sri Lanka (1), Swaziland (1), Thailand (2)</t>
  </si>
  <si>
    <t xml:space="preserve">   - Montenegro</t>
  </si>
  <si>
    <t xml:space="preserve">   - Nauru</t>
  </si>
  <si>
    <t xml:space="preserve">   - South Sudan</t>
  </si>
  <si>
    <t xml:space="preserve">    - Rwanda</t>
  </si>
  <si>
    <t xml:space="preserve">    - South Sudan</t>
  </si>
  <si>
    <t>โครงการก่อสร้างอาคารเรียนโรงเรียนมัธยมสมบูรณ์พระสงฆ์วัดสิมุงคุน แขวงสาละวัน</t>
  </si>
  <si>
    <t>โครงการพัฒนาความสามารถด้านการประมงแก่วิทยาลัยกสิกรรมและป่าไม้ จำปาสัก</t>
  </si>
  <si>
    <t>โครงการพัฒนาพิพิธภัณฑ์หินและแร่วิทยาลัยเทคนิคสรรพวิชา</t>
  </si>
  <si>
    <t>โครงการความร่วมมือทางวิชาการไทย-ลาว ครั้งที่ 21</t>
  </si>
  <si>
    <t xml:space="preserve">โครงการสร้างความสามารถให้แก่เจ้าหน้าที่กรมควบคุมมลพิษของ สปป.ลาว </t>
  </si>
  <si>
    <t>โครงการพัฒนาโรงเรียนเทคนิคหลวงพระบาง</t>
  </si>
  <si>
    <t>โครงการจัดตั้งคณะศาลปกครอง</t>
  </si>
  <si>
    <t>โครงการมัธยมตอนปลายโพนไซ แขวงอัตตะบือ</t>
  </si>
  <si>
    <t>โครงการพัฒนาวิทยาลัยเทคนิคสรรพวิชา</t>
  </si>
  <si>
    <t>โครงการสอนภาษาไทย ณ ม. ภูมินทร์ พนมเปญ</t>
  </si>
  <si>
    <t>โครงการสร้างทักษะแรงงานวิชาชีพ</t>
  </si>
  <si>
    <t>โครงการศูนย์พัฒนาฝีมือแรงงานไทย-กัมพูชา</t>
  </si>
  <si>
    <t>โครงการเสริมสร้างความสามารถในการจัดการและใช้ประโยชน์จากไผ่ Cultivation and Plantation Management to Support Sustainable Use of Bamboo</t>
  </si>
  <si>
    <t>Volunteer</t>
  </si>
  <si>
    <t>โครงการก่อสร้างปะการังเทียมในเวียดนาม</t>
  </si>
  <si>
    <t>โครงการความร่วมมือไทย-ตองกา เพื่อพัฒนาแปลงเกษตรกรรมในพื้นที่สำนักพระราชวังตองกาตามหลักปรัชญาของเศรษฐกิจพอเพียง</t>
  </si>
  <si>
    <t xml:space="preserve">Exchange of Teachers and School </t>
  </si>
  <si>
    <t>CSEP</t>
  </si>
  <si>
    <t>Training : Beyond GAP - Postharvest, Processing and Quality Assurance of Seleced Agro - Industrial Product 
Beneficiary : Cambodia (5), Lao PDR (5), Myanmar (5), Vietnam (5)</t>
  </si>
  <si>
    <t>Israel</t>
  </si>
  <si>
    <t>Construction Guidelines for Standards and Competency Framework of Early Childhood Education
Beneficiary : Cambodia (4), Lao PDR (2), Philippines (5), Myanmar (4), Thailand (5), Vietnam (4)</t>
  </si>
  <si>
    <t>Egypt</t>
  </si>
  <si>
    <t>- Public Administration</t>
  </si>
  <si>
    <t>โครงการปะการังเทียมในทะเลแดง</t>
  </si>
  <si>
    <t>Senegal</t>
  </si>
  <si>
    <t>โครงการตั้งหน่วยผลิตขาเทียม ณ ร.พ. ทหารผ่านศึก เซเนกัล</t>
  </si>
  <si>
    <t>Kenya</t>
  </si>
  <si>
    <t>โครงการปรับปรุงเรือนกล้วยไม้ในสวนพฤกษศาสตร์เคนยา ระยะที่ 2</t>
  </si>
  <si>
    <t>Jordan</t>
  </si>
  <si>
    <t xml:space="preserve">  - Industry</t>
  </si>
  <si>
    <t>โครงการโรงอบแห้งพลังงานแสงอาทิตย์ในเซเนกัล</t>
  </si>
  <si>
    <t>Seychelles</t>
  </si>
  <si>
    <t>โครงการด้านพฤกษศาสตร์</t>
  </si>
  <si>
    <t>โครงการส่งเสริมโภชนาการและสุขภาพอนามัยในชุมชนลาว</t>
  </si>
  <si>
    <t>โครงการพัฒนาเด็กและเยาวชนในกัมพูชา</t>
  </si>
  <si>
    <t>โครงการจัดตั้งสถาบันเทคโนโลยีกำปงสปือ</t>
  </si>
  <si>
    <t>-  ครุภัณฑ์ทางการแพทย์และการฝึกอบรม</t>
  </si>
  <si>
    <t xml:space="preserve"> Integrated Approaches for Small Scale Water Resource Managemen
Beneficiary : Cambodia (3), Philippines (3), Timor Leste (3), Vietnam (3)</t>
  </si>
  <si>
    <t>โครงการพัฒนาคุณภาพชีวิตเด็กและเยาวชน</t>
  </si>
  <si>
    <t xml:space="preserve">Labour &amp; Employment </t>
  </si>
  <si>
    <t>โครงการพัฒนาโรงเรียนกสิกรรมดงคำช้าง ด้านเศรษฐกิจพอเพียง</t>
  </si>
  <si>
    <t>-  ทุนศึกษาคณะครุศาสตร์อุตสาหกรรม</t>
  </si>
  <si>
    <t>แผนงานโครงการพัฒนาเขตเศรษฐกิจพิเศษทวายและพื้นที่โครงการที่เกี่ยวข้อง</t>
  </si>
  <si>
    <t>- โครงการพัฒนาแผนกฉุกเฉินโรงพยาบาลทวาย</t>
  </si>
  <si>
    <t>- โครงการพัฒนาการเรียนการสอนที่มหาวิทยาลัยเทคโนโลยีทวายและโรงเรียนเทคนิคทวาย</t>
  </si>
  <si>
    <t>Dairy Development in Myanmar</t>
  </si>
  <si>
    <t>Curriculum Development in Teaching Thai Language at Mandalay University of Foreign Language</t>
  </si>
  <si>
    <t>โครงการ Knowledge and Enhamcemet Concerning Wood Biomass Energy Resources  (ค่าใช้จ่ายในการดำเนินกิจกรรมวิจัยและพัฒนาการปลูกไม้โตเร็ว)</t>
  </si>
  <si>
    <t>IMT-GT</t>
  </si>
  <si>
    <t>Joint Training Program on Sustainable Rural Development and Sufficiency Economy
Beneficiary : Cambodia (3), Lao PDR (2), Malaysia(1), Myanamar(3)</t>
  </si>
  <si>
    <t xml:space="preserve">ASEAN </t>
  </si>
  <si>
    <t>ประชุมวิชาการสถาบันพระปกเกล้า ครั้งที่ 17
Beneficiary : Cambodia (2), Lao PDR (2), Vietnam (2)</t>
  </si>
  <si>
    <t>โครงการ IMT-GT
Beneficiary: Thailand (7)</t>
  </si>
  <si>
    <t>- Training course on Trauma and Emergency Care</t>
  </si>
  <si>
    <t>-  Technical Pedagogy using Work-based Training Approach for Government Technological High School of Dawei</t>
  </si>
  <si>
    <t xml:space="preserve">-  Intensive Strategies Management for the Administrative </t>
  </si>
  <si>
    <t xml:space="preserve">   - Cape Verde</t>
  </si>
  <si>
    <t xml:space="preserve">   - DR Congo</t>
  </si>
  <si>
    <t xml:space="preserve">   - Guinea-Bissau</t>
  </si>
  <si>
    <t xml:space="preserve">   - Marshall</t>
  </si>
  <si>
    <t xml:space="preserve">   - North Korea</t>
  </si>
  <si>
    <t xml:space="preserve">   - Papua New Guinea</t>
  </si>
  <si>
    <t xml:space="preserve">   - Sao Tome &amp; Principe</t>
  </si>
  <si>
    <t xml:space="preserve">   - St. Lucia</t>
  </si>
  <si>
    <t xml:space="preserve">   - St. Kitts and Nevis</t>
  </si>
  <si>
    <t xml:space="preserve">   -St. Kitts and Nevis</t>
  </si>
  <si>
    <t xml:space="preserve">   - Montenego</t>
  </si>
  <si>
    <t>9. Eastern Europe</t>
  </si>
  <si>
    <t>Scholarship :  Cambodia (0),  Lao PDR (0), Myanmar (2)</t>
  </si>
  <si>
    <t>Enhancing Cross -Border Trade Facilitation Towars AEC 2015
Beneficiary : Cambodia (5), Lao PDR (5), Myanmar (5), Thailand (2), Vietnam (6)</t>
  </si>
  <si>
    <t>11th Scientific Meeting on the Asian Academy of Osseointegration (AAO 2016)   สำหรับทันตแพทย์จากประเทศลุ่มแม่น้ำโขง 
Beneficiary :  Cambodia (15), China (5), Lao PDR (5), Myanmar (10), Vietnam (15)</t>
  </si>
  <si>
    <t>Scholarship :  Vietnam (4)</t>
  </si>
  <si>
    <t>Training for trainer for IMT-GT Sub-region on Underwater Cutting and Welding    
Beneficiary: Malaysia (4), Thailand (2)</t>
  </si>
  <si>
    <t xml:space="preserve">FEALAC </t>
  </si>
  <si>
    <t>From Sufficiency Economy to Wealthiness of the Nation   
Beneficiary : Argentina (1), Costa Rica (1), Mexico (1),</t>
  </si>
  <si>
    <t>Training of Trainers and Assessors for Cambodian Skill Standard
Beneficiary : Cambodia</t>
  </si>
  <si>
    <t>2. East Asia</t>
  </si>
  <si>
    <t>2. Southeast Asia</t>
  </si>
  <si>
    <t>FEALAC</t>
  </si>
  <si>
    <t>1. Latin America</t>
  </si>
  <si>
    <t xml:space="preserve">    - Mexico</t>
  </si>
  <si>
    <t xml:space="preserve">   </t>
  </si>
  <si>
    <t>9. Europe</t>
  </si>
  <si>
    <t>10. OTHERS*</t>
  </si>
  <si>
    <t>Others * :  Thai Participants and Unclassified Recipient Country</t>
  </si>
  <si>
    <t xml:space="preserve">    - North Korea</t>
  </si>
  <si>
    <t xml:space="preserve">    - Iran</t>
  </si>
  <si>
    <t xml:space="preserve">    - Iraq</t>
  </si>
  <si>
    <t xml:space="preserve">      - Cook Islands</t>
  </si>
  <si>
    <t xml:space="preserve">      - Marshall Islands</t>
  </si>
  <si>
    <t xml:space="preserve">      - Nauru</t>
  </si>
  <si>
    <t xml:space="preserve">      - Papua New Guinea</t>
  </si>
  <si>
    <t xml:space="preserve">      - Benin</t>
  </si>
  <si>
    <t xml:space="preserve">    -  Cape Verde</t>
  </si>
  <si>
    <t xml:space="preserve">      - Congo</t>
  </si>
  <si>
    <t xml:space="preserve">      - DR Congo</t>
  </si>
  <si>
    <t xml:space="preserve">      - C ote D'lvoire</t>
  </si>
  <si>
    <t xml:space="preserve">      -  Egypt</t>
  </si>
  <si>
    <t xml:space="preserve">     -  Gambia</t>
  </si>
  <si>
    <t xml:space="preserve">     -  Ghana</t>
  </si>
  <si>
    <t xml:space="preserve">     -  Guinea</t>
  </si>
  <si>
    <t xml:space="preserve">     -  Guinea-Bissau</t>
  </si>
  <si>
    <t xml:space="preserve">     -  Liberia</t>
  </si>
  <si>
    <t xml:space="preserve">     -  Mali</t>
  </si>
  <si>
    <t xml:space="preserve">     -  Mauritius</t>
  </si>
  <si>
    <t xml:space="preserve">     -  Nigeria</t>
  </si>
  <si>
    <t xml:space="preserve">     -  Rwanda</t>
  </si>
  <si>
    <t xml:space="preserve">     - Soa Tome &amp; Principe</t>
  </si>
  <si>
    <t xml:space="preserve">     - Togo</t>
  </si>
  <si>
    <t xml:space="preserve">     - Tunisia</t>
  </si>
  <si>
    <t xml:space="preserve">     - Zimbabwe</t>
  </si>
  <si>
    <t xml:space="preserve">     - Georgia</t>
  </si>
  <si>
    <t xml:space="preserve">     - Kyrgyzatan</t>
  </si>
  <si>
    <t xml:space="preserve">     - Tajikistan</t>
  </si>
  <si>
    <t xml:space="preserve">     - Bahamas</t>
  </si>
  <si>
    <t xml:space="preserve">     - Chile</t>
  </si>
  <si>
    <t xml:space="preserve">     - Costa Rica</t>
  </si>
  <si>
    <t xml:space="preserve">     - El Salvador</t>
  </si>
  <si>
    <t xml:space="preserve">     - Guatemala</t>
  </si>
  <si>
    <t xml:space="preserve">     - Mexico</t>
  </si>
  <si>
    <t xml:space="preserve">     - Panama</t>
  </si>
  <si>
    <t xml:space="preserve">     - Paraguay</t>
  </si>
  <si>
    <t xml:space="preserve">     -  St. Lucia</t>
  </si>
  <si>
    <t xml:space="preserve">     -  St. Kitts and Nevis</t>
  </si>
  <si>
    <t xml:space="preserve">     -  Montenego</t>
  </si>
  <si>
    <t xml:space="preserve">    - Jordan</t>
  </si>
  <si>
    <t xml:space="preserve">    - Oman</t>
  </si>
  <si>
    <t xml:space="preserve">    - Yemen</t>
  </si>
  <si>
    <t xml:space="preserve">   - Soa Tome &amp; Principe</t>
  </si>
  <si>
    <t xml:space="preserve">   - St Lucia</t>
  </si>
  <si>
    <t xml:space="preserve">   - St. kitts &amp; Nevis</t>
  </si>
  <si>
    <t>9. EASTERN EUROPE</t>
  </si>
  <si>
    <t>10. OTHERS</t>
  </si>
  <si>
    <t>ASEAN-IAI</t>
  </si>
  <si>
    <t>หลักสูตร ครูผดุงครรภ์และครูคลินิก (Midwifery Education)
Beneficiary : Lao PDR (24)</t>
  </si>
  <si>
    <t>Training : From Suficiency Economy to Wealthiness of the Nation
Beneficiary : Fiji (1), Malaysia (2), Maldives(2), Myanmar (1), Sri Lanka (1), Thailand (3)</t>
  </si>
  <si>
    <t>Observations and Studies of Low mass Ratio, Deep Over-Contract Binary Stars</t>
  </si>
  <si>
    <t xml:space="preserve">การประชุม Joint working group ครั้งที่ 1 และการติดตามการดำเนินงานโครงการ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</si>
</sst>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t&quot;$&quot;#,##0_);\(\t&quot;$&quot;#,##0\)"/>
    <numFmt numFmtId="200" formatCode="\t&quot;$&quot;#,##0_);[Red]\(\t&quot;$&quot;#,##0\)"/>
    <numFmt numFmtId="201" formatCode="\t&quot;$&quot;#,##0.00_);\(\t&quot;$&quot;#,##0.00\)"/>
    <numFmt numFmtId="202" formatCode="\t&quot;$&quot;#,##0.00_);[Red]\(\t&quot;$&quot;#,##0.00\)"/>
    <numFmt numFmtId="203" formatCode="_-* #,##0.0_-;\-* #,##0.0_-;_-* &quot;-&quot;??_-;_-@_-"/>
    <numFmt numFmtId="204" formatCode="_-* #,##0_-;\-* #,##0_-;_-* &quot;-&quot;??_-;_-@_-"/>
    <numFmt numFmtId="205" formatCode="0.0"/>
    <numFmt numFmtId="206" formatCode="#,##0.0"/>
    <numFmt numFmtId="207" formatCode="_(* #,##0.000_);_(* \(#,##0.000\);_(* &quot;-&quot;??_);_(@_)"/>
    <numFmt numFmtId="208" formatCode="_(* #,##0.0_);_(* \(#,##0.0\);_(* &quot;-&quot;??_);_(@_)"/>
    <numFmt numFmtId="209" formatCode="_(* #,##0_);_(* \(#,##0\);_(* &quot;-&quot;??_);_(@_)"/>
    <numFmt numFmtId="210" formatCode="[$-409]dddd\,\ mmmm\ dd\,\ yyyy"/>
    <numFmt numFmtId="211" formatCode="[$-409]h:mm:ss\ AM/PM"/>
    <numFmt numFmtId="212" formatCode="_-* #,##0.000_-;\-* #,##0.000_-;_-* &quot;-&quot;??_-;_-@_-"/>
    <numFmt numFmtId="213" formatCode="_(* #,##0.0_);_(* \(#,##0.0\);_(* &quot;-&quot;?_);_(@_)"/>
    <numFmt numFmtId="214" formatCode="_-* #,##0.0000_-;\-* #,##0.0000_-;_-* &quot;-&quot;??_-;_-@_-"/>
    <numFmt numFmtId="215" formatCode="_-* #,##0.00000_-;\-* #,##0.00000_-;_-* &quot;-&quot;??_-;_-@_-"/>
    <numFmt numFmtId="216" formatCode="_-* #,##0.0_-;\-* #,##0.0_-;_-* &quot;-&quot;?_-;_-@_-"/>
    <numFmt numFmtId="217" formatCode="0.00000"/>
    <numFmt numFmtId="218" formatCode="0.0000"/>
    <numFmt numFmtId="219" formatCode="0.000"/>
    <numFmt numFmtId="220" formatCode="#,##0.0_ ;\-#,##0.0\ "/>
    <numFmt numFmtId="221" formatCode="&quot;Yes&quot;;&quot;Yes&quot;;&quot;No&quot;"/>
    <numFmt numFmtId="222" formatCode="&quot;True&quot;;&quot;True&quot;;&quot;False&quot;"/>
    <numFmt numFmtId="223" formatCode="&quot;On&quot;;&quot;On&quot;;&quot;Off&quot;"/>
    <numFmt numFmtId="224" formatCode="[$€-2]\ #,##0.00_);[Red]\([$€-2]\ #,##0.00\)"/>
    <numFmt numFmtId="225" formatCode="#,##0.00;\(#,##0.00\)"/>
    <numFmt numFmtId="226" formatCode="_(* #,##0.0000_);_(* \(#,##0.0000\);_(* &quot;-&quot;??_);_(@_)"/>
  </numFmts>
  <fonts count="76">
    <font>
      <sz val="10"/>
      <name val="Arial"/>
      <family val="0"/>
    </font>
    <font>
      <sz val="8"/>
      <name val="Arial"/>
      <family val="2"/>
    </font>
    <font>
      <u val="single"/>
      <sz val="10"/>
      <color indexed="36"/>
      <name val="Arial"/>
      <family val="2"/>
    </font>
    <font>
      <u val="single"/>
      <sz val="10"/>
      <color indexed="12"/>
      <name val="Arial"/>
      <family val="2"/>
    </font>
    <font>
      <sz val="14"/>
      <name val="Cordia New"/>
      <family val="2"/>
    </font>
    <font>
      <b/>
      <sz val="14"/>
      <name val="Cordia New"/>
      <family val="2"/>
    </font>
    <font>
      <b/>
      <sz val="10"/>
      <name val="Cordia New"/>
      <family val="2"/>
    </font>
    <font>
      <b/>
      <sz val="12"/>
      <name val="Cordia New"/>
      <family val="2"/>
    </font>
    <font>
      <b/>
      <sz val="10"/>
      <name val="Arial"/>
      <family val="2"/>
    </font>
    <font>
      <b/>
      <sz val="9"/>
      <name val="Arial"/>
      <family val="2"/>
    </font>
    <font>
      <sz val="12"/>
      <name val="Cordia New"/>
      <family val="2"/>
    </font>
    <font>
      <b/>
      <sz val="13.5"/>
      <name val="Cordia New"/>
      <family val="2"/>
    </font>
    <font>
      <sz val="10"/>
      <name val="Cordia New"/>
      <family val="2"/>
    </font>
    <font>
      <sz val="13"/>
      <name val="Cordia New"/>
      <family val="2"/>
    </font>
    <font>
      <b/>
      <sz val="11"/>
      <name val="Cordia New"/>
      <family val="2"/>
    </font>
    <font>
      <sz val="14"/>
      <name val="Arial"/>
      <family val="2"/>
    </font>
    <font>
      <b/>
      <sz val="13"/>
      <name val="Cordia New"/>
      <family val="2"/>
    </font>
    <font>
      <b/>
      <sz val="8"/>
      <name val="Comic Sans MS"/>
      <family val="4"/>
    </font>
    <font>
      <sz val="8"/>
      <name val="Comic Sans MS"/>
      <family val="4"/>
    </font>
    <font>
      <b/>
      <sz val="16"/>
      <name val="Cordia New"/>
      <family val="2"/>
    </font>
    <font>
      <b/>
      <sz val="9"/>
      <name val="Arial Narrow"/>
      <family val="2"/>
    </font>
    <font>
      <b/>
      <sz val="8"/>
      <name val="Arial Narrow"/>
      <family val="2"/>
    </font>
    <font>
      <b/>
      <sz val="12"/>
      <color indexed="10"/>
      <name val="Cordia New"/>
      <family val="2"/>
    </font>
    <font>
      <sz val="12"/>
      <name val="Arial"/>
      <family val="2"/>
    </font>
    <font>
      <sz val="13.5"/>
      <name val="Cordia New"/>
      <family val="2"/>
    </font>
    <font>
      <sz val="13.5"/>
      <name val="Arial"/>
      <family val="2"/>
    </font>
    <font>
      <b/>
      <sz val="8"/>
      <name val="Arial"/>
      <family val="2"/>
    </font>
    <font>
      <b/>
      <sz val="15"/>
      <name val="Cordia New"/>
      <family val="2"/>
    </font>
    <font>
      <sz val="16"/>
      <name val="Arial"/>
      <family val="2"/>
    </font>
    <font>
      <b/>
      <sz val="13.5"/>
      <color indexed="10"/>
      <name val="Cordia New"/>
      <family val="2"/>
    </font>
    <font>
      <sz val="10"/>
      <color indexed="10"/>
      <name val="Arial"/>
      <family val="2"/>
    </font>
    <font>
      <b/>
      <sz val="13.5"/>
      <color indexed="8"/>
      <name val="Cordia New"/>
      <family val="2"/>
    </font>
    <font>
      <sz val="13.5"/>
      <color indexed="8"/>
      <name val="Cordia New"/>
      <family val="2"/>
    </font>
    <font>
      <b/>
      <sz val="14"/>
      <name val="Arial"/>
      <family val="2"/>
    </font>
    <font>
      <b/>
      <vertAlign val="superscript"/>
      <sz val="14"/>
      <name val="Cordia New"/>
      <family val="2"/>
    </font>
    <font>
      <sz val="16"/>
      <name val="Cordia New"/>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sz val="13.5"/>
      <color indexed="10"/>
      <name val="Cordia New"/>
      <family val="2"/>
    </font>
    <font>
      <b/>
      <sz val="14"/>
      <color indexed="8"/>
      <name val="Cordia Ne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5"/>
      <color theme="1"/>
      <name val="Cordia New"/>
      <family val="2"/>
    </font>
    <font>
      <sz val="13.5"/>
      <color theme="1"/>
      <name val="Cordia New"/>
      <family val="2"/>
    </font>
    <font>
      <sz val="13.5"/>
      <color rgb="FFFF0000"/>
      <name val="Cordia New"/>
      <family val="2"/>
    </font>
    <font>
      <b/>
      <sz val="14"/>
      <color theme="1"/>
      <name val="Cordia Ne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F99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hair"/>
      <bottom style="mediu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style="medium"/>
      <bottom style="medium"/>
    </border>
    <border>
      <left>
        <color indexed="63"/>
      </left>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hair"/>
      <top style="medium"/>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hair"/>
      <right style="hair"/>
      <top style="hair"/>
      <bottom style="hair"/>
    </border>
    <border>
      <left>
        <color indexed="63"/>
      </left>
      <right style="hair"/>
      <top style="hair"/>
      <bottom style="hair"/>
    </border>
    <border>
      <left>
        <color indexed="63"/>
      </left>
      <right style="hair"/>
      <top style="medium"/>
      <bottom style="medium"/>
    </border>
    <border>
      <left style="hair"/>
      <right style="hair"/>
      <top style="medium"/>
      <bottom style="medium"/>
    </border>
    <border>
      <left style="hair"/>
      <right style="hair"/>
      <top style="medium"/>
      <bottom>
        <color indexed="63"/>
      </bottom>
    </border>
    <border>
      <left style="hair"/>
      <right style="hair"/>
      <top style="medium"/>
      <bottom style="hair"/>
    </border>
    <border>
      <left style="hair"/>
      <right style="hair"/>
      <top>
        <color indexed="63"/>
      </top>
      <bottom style="hair"/>
    </border>
    <border>
      <left style="hair"/>
      <right>
        <color indexed="63"/>
      </right>
      <top style="hair"/>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style="medium"/>
      <bottom>
        <color indexed="63"/>
      </bottom>
    </border>
    <border>
      <left style="hair"/>
      <right>
        <color indexed="63"/>
      </right>
      <top>
        <color indexed="63"/>
      </top>
      <bottom style="thin"/>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0" fillId="0" borderId="0">
      <alignment/>
      <protection/>
    </xf>
  </cellStyleXfs>
  <cellXfs count="1270">
    <xf numFmtId="0" fontId="0" fillId="0" borderId="0" xfId="0" applyAlignment="1">
      <alignment/>
    </xf>
    <xf numFmtId="0" fontId="5" fillId="0" borderId="0" xfId="64" applyFont="1" applyAlignment="1">
      <alignment vertical="center"/>
      <protection/>
    </xf>
    <xf numFmtId="0" fontId="6" fillId="0" borderId="0" xfId="64" applyFont="1" applyAlignment="1">
      <alignment horizontal="center"/>
      <protection/>
    </xf>
    <xf numFmtId="0" fontId="6" fillId="0" borderId="0" xfId="64" applyFont="1">
      <alignment/>
      <protection/>
    </xf>
    <xf numFmtId="204" fontId="6" fillId="0" borderId="0" xfId="46" applyNumberFormat="1" applyFont="1" applyAlignment="1">
      <alignment horizontal="center"/>
    </xf>
    <xf numFmtId="204" fontId="6" fillId="0" borderId="0" xfId="46" applyNumberFormat="1" applyFont="1" applyAlignment="1">
      <alignment/>
    </xf>
    <xf numFmtId="0" fontId="4" fillId="0" borderId="0" xfId="64">
      <alignment/>
      <protection/>
    </xf>
    <xf numFmtId="0" fontId="10" fillId="0" borderId="0" xfId="64" applyFont="1">
      <alignment/>
      <protection/>
    </xf>
    <xf numFmtId="0" fontId="5" fillId="0" borderId="0" xfId="64" applyFont="1" applyBorder="1">
      <alignment/>
      <protection/>
    </xf>
    <xf numFmtId="0" fontId="7" fillId="0" borderId="0" xfId="64" applyFont="1" applyBorder="1">
      <alignment/>
      <protection/>
    </xf>
    <xf numFmtId="0" fontId="11" fillId="0" borderId="0" xfId="64" applyFont="1" applyBorder="1">
      <alignment/>
      <protection/>
    </xf>
    <xf numFmtId="204" fontId="11" fillId="0" borderId="0" xfId="46" applyNumberFormat="1" applyFont="1" applyBorder="1" applyAlignment="1">
      <alignment horizontal="right"/>
    </xf>
    <xf numFmtId="204" fontId="11" fillId="0" borderId="0" xfId="46" applyNumberFormat="1" applyFont="1" applyBorder="1" applyAlignment="1">
      <alignment/>
    </xf>
    <xf numFmtId="0" fontId="11" fillId="0" borderId="0" xfId="64" applyFont="1" applyBorder="1" applyAlignment="1">
      <alignment horizontal="right"/>
      <protection/>
    </xf>
    <xf numFmtId="0" fontId="5" fillId="0" borderId="10" xfId="64" applyFont="1" applyBorder="1">
      <alignment/>
      <protection/>
    </xf>
    <xf numFmtId="204" fontId="11" fillId="0" borderId="0" xfId="46" applyNumberFormat="1" applyFont="1" applyBorder="1" applyAlignment="1">
      <alignment horizontal="center"/>
    </xf>
    <xf numFmtId="0" fontId="11" fillId="0" borderId="11" xfId="64" applyFont="1" applyBorder="1">
      <alignment/>
      <protection/>
    </xf>
    <xf numFmtId="204" fontId="11" fillId="0" borderId="11" xfId="46" applyNumberFormat="1" applyFont="1" applyBorder="1" applyAlignment="1">
      <alignment horizontal="right"/>
    </xf>
    <xf numFmtId="204" fontId="11" fillId="0" borderId="11" xfId="46" applyNumberFormat="1" applyFont="1" applyBorder="1" applyAlignment="1">
      <alignment horizontal="center"/>
    </xf>
    <xf numFmtId="0" fontId="7" fillId="0" borderId="0" xfId="64" applyFont="1" applyBorder="1" applyAlignment="1">
      <alignment horizontal="right"/>
      <protection/>
    </xf>
    <xf numFmtId="0" fontId="10" fillId="0" borderId="0" xfId="64" applyFont="1" applyBorder="1" applyAlignment="1">
      <alignment horizontal="center"/>
      <protection/>
    </xf>
    <xf numFmtId="0" fontId="10" fillId="0" borderId="0" xfId="64" applyFont="1" applyBorder="1">
      <alignment/>
      <protection/>
    </xf>
    <xf numFmtId="204" fontId="10" fillId="0" borderId="0" xfId="46" applyNumberFormat="1" applyFont="1" applyBorder="1" applyAlignment="1">
      <alignment horizontal="center"/>
    </xf>
    <xf numFmtId="204" fontId="10" fillId="0" borderId="0" xfId="46" applyNumberFormat="1" applyFont="1" applyBorder="1" applyAlignment="1">
      <alignment/>
    </xf>
    <xf numFmtId="204" fontId="12" fillId="0" borderId="0" xfId="46" applyNumberFormat="1" applyFont="1" applyAlignment="1">
      <alignment/>
    </xf>
    <xf numFmtId="0" fontId="12" fillId="0" borderId="0" xfId="64" applyFont="1" applyAlignment="1">
      <alignment horizontal="center"/>
      <protection/>
    </xf>
    <xf numFmtId="0" fontId="12" fillId="0" borderId="0" xfId="64" applyFont="1">
      <alignment/>
      <protection/>
    </xf>
    <xf numFmtId="209" fontId="5" fillId="0" borderId="0" xfId="42" applyNumberFormat="1" applyFont="1" applyAlignment="1">
      <alignment/>
    </xf>
    <xf numFmtId="209" fontId="10" fillId="0" borderId="0" xfId="42" applyNumberFormat="1" applyFont="1" applyBorder="1" applyAlignment="1">
      <alignment horizontal="center"/>
    </xf>
    <xf numFmtId="209" fontId="10" fillId="0" borderId="0" xfId="42" applyNumberFormat="1" applyFont="1" applyAlignment="1">
      <alignment/>
    </xf>
    <xf numFmtId="209" fontId="10" fillId="0" borderId="0" xfId="42" applyNumberFormat="1" applyFont="1" applyBorder="1" applyAlignment="1">
      <alignment/>
    </xf>
    <xf numFmtId="204" fontId="12" fillId="0" borderId="0" xfId="46" applyNumberFormat="1" applyFont="1" applyAlignment="1">
      <alignment horizontal="center"/>
    </xf>
    <xf numFmtId="204" fontId="10" fillId="0" borderId="0" xfId="64" applyNumberFormat="1" applyFont="1" applyBorder="1" applyAlignment="1">
      <alignment horizontal="center"/>
      <protection/>
    </xf>
    <xf numFmtId="204" fontId="12" fillId="0" borderId="0" xfId="64" applyNumberFormat="1" applyFont="1">
      <alignment/>
      <protection/>
    </xf>
    <xf numFmtId="0" fontId="5" fillId="0" borderId="0" xfId="63" applyFont="1">
      <alignment/>
      <protection/>
    </xf>
    <xf numFmtId="0" fontId="13" fillId="0" borderId="0" xfId="63" applyFont="1" applyAlignment="1">
      <alignment horizontal="center"/>
      <protection/>
    </xf>
    <xf numFmtId="204" fontId="13" fillId="0" borderId="0" xfId="46" applyNumberFormat="1" applyFont="1" applyAlignment="1">
      <alignment/>
    </xf>
    <xf numFmtId="0" fontId="13" fillId="0" borderId="0" xfId="63" applyFont="1" applyAlignment="1">
      <alignment horizontal="left"/>
      <protection/>
    </xf>
    <xf numFmtId="0" fontId="14" fillId="0" borderId="0" xfId="63" applyFont="1">
      <alignment/>
      <protection/>
    </xf>
    <xf numFmtId="0" fontId="7" fillId="0" borderId="0" xfId="63" applyFont="1" applyAlignment="1">
      <alignment horizontal="right"/>
      <protection/>
    </xf>
    <xf numFmtId="0" fontId="13" fillId="0" borderId="0" xfId="63" applyFont="1">
      <alignment/>
      <protection/>
    </xf>
    <xf numFmtId="0" fontId="4" fillId="0" borderId="0" xfId="63" applyFont="1" applyAlignment="1">
      <alignment horizontal="left"/>
      <protection/>
    </xf>
    <xf numFmtId="0" fontId="15" fillId="0" borderId="0" xfId="0" applyFont="1" applyAlignment="1">
      <alignment/>
    </xf>
    <xf numFmtId="0" fontId="4" fillId="0" borderId="0" xfId="63" applyFont="1" applyAlignment="1">
      <alignment horizontal="center"/>
      <protection/>
    </xf>
    <xf numFmtId="0" fontId="16" fillId="0" borderId="0" xfId="63" applyFont="1" applyBorder="1">
      <alignment/>
      <protection/>
    </xf>
    <xf numFmtId="204" fontId="7" fillId="0" borderId="0" xfId="71" applyNumberFormat="1" applyFont="1" applyBorder="1">
      <alignment/>
      <protection/>
    </xf>
    <xf numFmtId="0" fontId="16" fillId="0" borderId="11" xfId="63" applyFont="1" applyBorder="1">
      <alignment/>
      <protection/>
    </xf>
    <xf numFmtId="204" fontId="7" fillId="0" borderId="0" xfId="71" applyNumberFormat="1" applyFont="1" applyBorder="1" applyAlignment="1">
      <alignment horizontal="right"/>
      <protection/>
    </xf>
    <xf numFmtId="204" fontId="7" fillId="0" borderId="0" xfId="63" applyNumberFormat="1" applyFont="1" applyBorder="1">
      <alignment/>
      <protection/>
    </xf>
    <xf numFmtId="0" fontId="16" fillId="0" borderId="0" xfId="63" applyFont="1">
      <alignment/>
      <protection/>
    </xf>
    <xf numFmtId="0" fontId="16" fillId="0" borderId="0" xfId="63" applyFont="1">
      <alignment/>
      <protection/>
    </xf>
    <xf numFmtId="204" fontId="10" fillId="0" borderId="0" xfId="71" applyNumberFormat="1" applyFont="1">
      <alignment/>
      <protection/>
    </xf>
    <xf numFmtId="208" fontId="17" fillId="0" borderId="0" xfId="42" applyNumberFormat="1" applyFont="1" applyAlignment="1">
      <alignment/>
    </xf>
    <xf numFmtId="208" fontId="18" fillId="0" borderId="0" xfId="42" applyNumberFormat="1" applyFont="1" applyAlignment="1">
      <alignment/>
    </xf>
    <xf numFmtId="0" fontId="1" fillId="0" borderId="0" xfId="0" applyFont="1" applyAlignment="1">
      <alignment/>
    </xf>
    <xf numFmtId="0" fontId="4" fillId="0" borderId="0" xfId="63" applyAlignment="1">
      <alignment horizontal="center"/>
      <protection/>
    </xf>
    <xf numFmtId="0" fontId="12" fillId="0" borderId="0" xfId="63" applyFont="1">
      <alignment/>
      <protection/>
    </xf>
    <xf numFmtId="0" fontId="7" fillId="0" borderId="0" xfId="63" applyFont="1" applyBorder="1">
      <alignment/>
      <protection/>
    </xf>
    <xf numFmtId="0" fontId="12" fillId="0" borderId="0" xfId="63" applyFont="1" applyBorder="1" applyAlignment="1">
      <alignment horizontal="center"/>
      <protection/>
    </xf>
    <xf numFmtId="204" fontId="12" fillId="0" borderId="0" xfId="46" applyNumberFormat="1" applyFont="1" applyBorder="1" applyAlignment="1">
      <alignment/>
    </xf>
    <xf numFmtId="204" fontId="12" fillId="0" borderId="0" xfId="46" applyNumberFormat="1" applyFont="1" applyBorder="1" applyAlignment="1">
      <alignment horizontal="center"/>
    </xf>
    <xf numFmtId="0" fontId="0" fillId="0" borderId="0" xfId="0" applyFont="1" applyAlignment="1">
      <alignment/>
    </xf>
    <xf numFmtId="0" fontId="7" fillId="0" borderId="0" xfId="63" applyFont="1" applyBorder="1">
      <alignment/>
      <protection/>
    </xf>
    <xf numFmtId="0" fontId="4" fillId="0" borderId="0" xfId="63">
      <alignment/>
      <protection/>
    </xf>
    <xf numFmtId="0" fontId="5" fillId="0" borderId="0" xfId="63" applyFont="1">
      <alignment/>
      <protection/>
    </xf>
    <xf numFmtId="0" fontId="12" fillId="0" borderId="0" xfId="63" applyFont="1" applyAlignment="1">
      <alignment horizontal="center"/>
      <protection/>
    </xf>
    <xf numFmtId="204" fontId="12" fillId="0" borderId="0" xfId="46" applyNumberFormat="1" applyFont="1" applyFill="1" applyAlignment="1">
      <alignment/>
    </xf>
    <xf numFmtId="0" fontId="10" fillId="0" borderId="0" xfId="63" applyFont="1">
      <alignment/>
      <protection/>
    </xf>
    <xf numFmtId="0" fontId="10" fillId="0" borderId="0" xfId="63" applyFont="1">
      <alignment/>
      <protection/>
    </xf>
    <xf numFmtId="0" fontId="7" fillId="0" borderId="0" xfId="63" applyFont="1">
      <alignment/>
      <protection/>
    </xf>
    <xf numFmtId="0" fontId="5" fillId="0" borderId="0" xfId="63" applyFont="1" applyBorder="1">
      <alignment/>
      <protection/>
    </xf>
    <xf numFmtId="0" fontId="11" fillId="0" borderId="0" xfId="63" applyFont="1" applyBorder="1">
      <alignment/>
      <protection/>
    </xf>
    <xf numFmtId="204" fontId="13" fillId="0" borderId="0" xfId="46" applyNumberFormat="1" applyFont="1" applyBorder="1" applyAlignment="1">
      <alignment horizontal="center"/>
    </xf>
    <xf numFmtId="0" fontId="13" fillId="0" borderId="0" xfId="63" applyFont="1" applyBorder="1">
      <alignment/>
      <protection/>
    </xf>
    <xf numFmtId="0" fontId="13" fillId="0" borderId="0" xfId="63" applyFont="1">
      <alignment/>
      <protection/>
    </xf>
    <xf numFmtId="0" fontId="5" fillId="0" borderId="10" xfId="63" applyFont="1" applyBorder="1">
      <alignment/>
      <protection/>
    </xf>
    <xf numFmtId="203" fontId="13" fillId="0" borderId="0" xfId="46" applyNumberFormat="1" applyFont="1" applyAlignment="1">
      <alignment/>
    </xf>
    <xf numFmtId="0" fontId="14" fillId="0" borderId="0" xfId="63" applyFont="1" applyBorder="1" applyAlignment="1">
      <alignment horizontal="center"/>
      <protection/>
    </xf>
    <xf numFmtId="204" fontId="14" fillId="0" borderId="0" xfId="46" applyNumberFormat="1" applyFont="1" applyBorder="1" applyAlignment="1">
      <alignment/>
    </xf>
    <xf numFmtId="204" fontId="14" fillId="0" borderId="0" xfId="46" applyNumberFormat="1" applyFont="1" applyBorder="1" applyAlignment="1">
      <alignment horizontal="center"/>
    </xf>
    <xf numFmtId="0" fontId="23" fillId="0" borderId="0" xfId="0" applyFont="1" applyAlignment="1">
      <alignment/>
    </xf>
    <xf numFmtId="204" fontId="5" fillId="0" borderId="10" xfId="46" applyNumberFormat="1" applyFont="1" applyBorder="1" applyAlignment="1">
      <alignment horizontal="center"/>
    </xf>
    <xf numFmtId="0" fontId="5" fillId="0" borderId="0" xfId="63" applyFont="1" applyBorder="1" applyAlignment="1">
      <alignment horizontal="center"/>
      <protection/>
    </xf>
    <xf numFmtId="204" fontId="5" fillId="0" borderId="0" xfId="46" applyNumberFormat="1" applyFont="1" applyBorder="1" applyAlignment="1">
      <alignment horizontal="center"/>
    </xf>
    <xf numFmtId="0" fontId="5" fillId="0" borderId="12" xfId="63" applyFont="1" applyBorder="1" applyAlignment="1">
      <alignment horizontal="center"/>
      <protection/>
    </xf>
    <xf numFmtId="204" fontId="5" fillId="0" borderId="13" xfId="46" applyNumberFormat="1" applyFont="1" applyBorder="1" applyAlignment="1">
      <alignment horizontal="center"/>
    </xf>
    <xf numFmtId="0" fontId="12" fillId="0" borderId="0" xfId="63" applyFont="1" applyBorder="1">
      <alignment/>
      <protection/>
    </xf>
    <xf numFmtId="0" fontId="24" fillId="0" borderId="0" xfId="63" applyFont="1">
      <alignment/>
      <protection/>
    </xf>
    <xf numFmtId="0" fontId="25" fillId="0" borderId="0" xfId="0" applyFont="1" applyAlignment="1">
      <alignment/>
    </xf>
    <xf numFmtId="0" fontId="11" fillId="0" borderId="0" xfId="63" applyFont="1" applyBorder="1" applyAlignment="1">
      <alignment horizontal="left"/>
      <protection/>
    </xf>
    <xf numFmtId="204" fontId="10" fillId="0" borderId="0" xfId="47" applyNumberFormat="1" applyFont="1" applyAlignment="1">
      <alignment/>
    </xf>
    <xf numFmtId="0" fontId="7" fillId="0" borderId="0" xfId="63" applyFont="1" applyAlignment="1">
      <alignment horizontal="right"/>
      <protection/>
    </xf>
    <xf numFmtId="204" fontId="7" fillId="0" borderId="0" xfId="47" applyNumberFormat="1" applyFont="1" applyBorder="1" applyAlignment="1">
      <alignment/>
    </xf>
    <xf numFmtId="0" fontId="7" fillId="0" borderId="0" xfId="63" applyFont="1" applyBorder="1" applyAlignment="1">
      <alignment horizontal="center"/>
      <protection/>
    </xf>
    <xf numFmtId="0" fontId="20" fillId="0" borderId="13" xfId="63" applyFont="1" applyBorder="1" applyAlignment="1">
      <alignment horizontal="right"/>
      <protection/>
    </xf>
    <xf numFmtId="204" fontId="20" fillId="0" borderId="13" xfId="46" applyNumberFormat="1" applyFont="1" applyBorder="1" applyAlignment="1">
      <alignment horizontal="right"/>
    </xf>
    <xf numFmtId="0" fontId="5" fillId="0" borderId="0" xfId="63" applyFont="1" applyBorder="1">
      <alignment/>
      <protection/>
    </xf>
    <xf numFmtId="204" fontId="12" fillId="0" borderId="0" xfId="45" applyNumberFormat="1" applyFont="1" applyAlignment="1">
      <alignment/>
    </xf>
    <xf numFmtId="0" fontId="4" fillId="0" borderId="0" xfId="63" applyFont="1">
      <alignment/>
      <protection/>
    </xf>
    <xf numFmtId="0" fontId="4" fillId="0" borderId="0" xfId="64" applyBorder="1" applyAlignment="1">
      <alignment horizontal="center" vertical="center"/>
      <protection/>
    </xf>
    <xf numFmtId="0" fontId="14" fillId="0" borderId="0" xfId="64" applyFont="1" applyBorder="1" applyAlignment="1">
      <alignment horizontal="right"/>
      <protection/>
    </xf>
    <xf numFmtId="0" fontId="7" fillId="0" borderId="0" xfId="64" applyFont="1" applyBorder="1" applyAlignment="1">
      <alignment horizontal="left"/>
      <protection/>
    </xf>
    <xf numFmtId="0" fontId="14" fillId="0" borderId="0" xfId="64" applyFont="1" applyBorder="1" applyAlignment="1">
      <alignment horizontal="center"/>
      <protection/>
    </xf>
    <xf numFmtId="0" fontId="6" fillId="0" borderId="0" xfId="64" applyFont="1" applyBorder="1" applyAlignment="1">
      <alignment horizontal="center"/>
      <protection/>
    </xf>
    <xf numFmtId="0" fontId="6" fillId="0" borderId="0" xfId="64" applyFont="1" applyBorder="1" applyAlignment="1">
      <alignment horizontal="center" vertical="center"/>
      <protection/>
    </xf>
    <xf numFmtId="0" fontId="12" fillId="0" borderId="0" xfId="64" applyFont="1" applyAlignment="1">
      <alignment horizontal="center" vertical="center"/>
      <protection/>
    </xf>
    <xf numFmtId="0" fontId="4" fillId="0" borderId="0" xfId="64" applyAlignment="1">
      <alignment horizontal="center"/>
      <protection/>
    </xf>
    <xf numFmtId="0" fontId="4" fillId="0" borderId="0" xfId="64" applyAlignment="1">
      <alignment horizontal="center" vertical="center"/>
      <protection/>
    </xf>
    <xf numFmtId="0" fontId="7" fillId="0" borderId="0" xfId="64" applyFont="1">
      <alignment/>
      <protection/>
    </xf>
    <xf numFmtId="0" fontId="24" fillId="0" borderId="0" xfId="64" applyFont="1">
      <alignment/>
      <protection/>
    </xf>
    <xf numFmtId="0" fontId="5" fillId="0" borderId="14" xfId="64" applyFont="1" applyBorder="1" applyAlignment="1">
      <alignment vertical="center"/>
      <protection/>
    </xf>
    <xf numFmtId="0" fontId="11" fillId="0" borderId="14" xfId="64" applyFont="1" applyBorder="1" applyAlignment="1">
      <alignment vertical="center"/>
      <protection/>
    </xf>
    <xf numFmtId="204" fontId="11" fillId="0" borderId="14" xfId="47" applyNumberFormat="1" applyFont="1" applyBorder="1" applyAlignment="1">
      <alignment vertical="center"/>
    </xf>
    <xf numFmtId="0" fontId="11" fillId="0" borderId="0" xfId="64" applyFont="1" applyBorder="1" applyAlignment="1">
      <alignment vertical="center"/>
      <protection/>
    </xf>
    <xf numFmtId="0" fontId="5" fillId="0" borderId="10" xfId="64" applyFont="1" applyBorder="1" applyAlignment="1">
      <alignment vertical="center"/>
      <protection/>
    </xf>
    <xf numFmtId="0" fontId="11" fillId="0" borderId="11" xfId="64" applyFont="1" applyBorder="1" applyAlignment="1">
      <alignment vertical="center"/>
      <protection/>
    </xf>
    <xf numFmtId="0" fontId="5" fillId="0" borderId="0" xfId="64" applyFont="1" applyBorder="1" applyAlignment="1">
      <alignment vertical="center"/>
      <protection/>
    </xf>
    <xf numFmtId="0" fontId="5" fillId="0" borderId="13" xfId="64" applyFont="1" applyBorder="1" applyAlignment="1">
      <alignment horizontal="center" vertical="center"/>
      <protection/>
    </xf>
    <xf numFmtId="204" fontId="5" fillId="0" borderId="13" xfId="47" applyNumberFormat="1" applyFont="1" applyBorder="1" applyAlignment="1">
      <alignment vertical="center"/>
    </xf>
    <xf numFmtId="0" fontId="5" fillId="0" borderId="13" xfId="64" applyFont="1" applyBorder="1" applyAlignment="1">
      <alignment horizontal="right" vertical="center"/>
      <protection/>
    </xf>
    <xf numFmtId="0" fontId="0" fillId="0" borderId="0" xfId="0" applyFont="1" applyAlignment="1">
      <alignment/>
    </xf>
    <xf numFmtId="0" fontId="4" fillId="0" borderId="0" xfId="64" applyFont="1">
      <alignment/>
      <protection/>
    </xf>
    <xf numFmtId="0" fontId="4" fillId="0" borderId="0" xfId="63" applyFont="1" applyAlignment="1">
      <alignment horizontal="center"/>
      <protection/>
    </xf>
    <xf numFmtId="204" fontId="4" fillId="0" borderId="0" xfId="46" applyNumberFormat="1" applyFont="1" applyAlignment="1">
      <alignment/>
    </xf>
    <xf numFmtId="204" fontId="4" fillId="0" borderId="0" xfId="46" applyNumberFormat="1" applyFont="1" applyAlignment="1">
      <alignment horizontal="center"/>
    </xf>
    <xf numFmtId="0" fontId="11" fillId="0" borderId="0" xfId="63" applyFont="1">
      <alignment/>
      <protection/>
    </xf>
    <xf numFmtId="0" fontId="24" fillId="0" borderId="0" xfId="64" applyFont="1">
      <alignment/>
      <protection/>
    </xf>
    <xf numFmtId="0" fontId="11" fillId="0" borderId="0" xfId="64" applyFont="1" applyBorder="1" applyAlignment="1">
      <alignment horizontal="left"/>
      <protection/>
    </xf>
    <xf numFmtId="0" fontId="24" fillId="0" borderId="0" xfId="64" applyFont="1" applyBorder="1" applyAlignment="1">
      <alignment horizontal="left"/>
      <protection/>
    </xf>
    <xf numFmtId="0" fontId="11" fillId="0" borderId="0" xfId="64" applyFont="1" applyBorder="1" applyAlignment="1">
      <alignment horizontal="center" vertical="center"/>
      <protection/>
    </xf>
    <xf numFmtId="0" fontId="7" fillId="0" borderId="0" xfId="64" applyFont="1" applyBorder="1" applyAlignment="1">
      <alignment vertical="center"/>
      <protection/>
    </xf>
    <xf numFmtId="0" fontId="7" fillId="0" borderId="0" xfId="64" applyFont="1" applyBorder="1" applyAlignment="1">
      <alignment horizontal="center" vertical="center"/>
      <protection/>
    </xf>
    <xf numFmtId="0" fontId="7" fillId="0" borderId="0" xfId="64" applyFont="1" applyBorder="1">
      <alignment/>
      <protection/>
    </xf>
    <xf numFmtId="0" fontId="7" fillId="0" borderId="0" xfId="64" applyFont="1" applyBorder="1" applyAlignment="1">
      <alignment horizontal="center"/>
      <protection/>
    </xf>
    <xf numFmtId="0" fontId="5" fillId="0" borderId="12" xfId="63" applyFont="1" applyBorder="1">
      <alignment/>
      <protection/>
    </xf>
    <xf numFmtId="0" fontId="5" fillId="0" borderId="15" xfId="63" applyFont="1" applyBorder="1">
      <alignment/>
      <protection/>
    </xf>
    <xf numFmtId="0" fontId="5" fillId="0" borderId="0" xfId="63" applyFont="1" applyAlignment="1">
      <alignment horizontal="right"/>
      <protection/>
    </xf>
    <xf numFmtId="0" fontId="11" fillId="0" borderId="0" xfId="63" applyFont="1" applyBorder="1" applyAlignment="1">
      <alignment horizontal="center"/>
      <protection/>
    </xf>
    <xf numFmtId="204" fontId="24" fillId="0" borderId="0" xfId="46" applyNumberFormat="1" applyFont="1" applyBorder="1" applyAlignment="1">
      <alignment horizontal="center"/>
    </xf>
    <xf numFmtId="204" fontId="24" fillId="0" borderId="0" xfId="46" applyNumberFormat="1" applyFont="1" applyBorder="1" applyAlignment="1">
      <alignment/>
    </xf>
    <xf numFmtId="204" fontId="5" fillId="0" borderId="13" xfId="46" applyNumberFormat="1" applyFont="1" applyBorder="1" applyAlignment="1">
      <alignment horizontal="right"/>
    </xf>
    <xf numFmtId="204" fontId="5" fillId="0" borderId="13" xfId="63" applyNumberFormat="1" applyFont="1" applyBorder="1" applyAlignment="1">
      <alignment horizontal="center"/>
      <protection/>
    </xf>
    <xf numFmtId="204" fontId="5" fillId="0" borderId="13" xfId="46" applyNumberFormat="1" applyFont="1" applyBorder="1" applyAlignment="1">
      <alignment horizontal="center"/>
    </xf>
    <xf numFmtId="204" fontId="16" fillId="0" borderId="10" xfId="46" applyNumberFormat="1" applyFont="1" applyBorder="1" applyAlignment="1">
      <alignment horizontal="center"/>
    </xf>
    <xf numFmtId="204" fontId="5" fillId="0" borderId="11" xfId="46" applyNumberFormat="1" applyFont="1" applyBorder="1" applyAlignment="1">
      <alignment horizontal="center"/>
    </xf>
    <xf numFmtId="0" fontId="5" fillId="0" borderId="13" xfId="63" applyFont="1" applyBorder="1" applyAlignment="1">
      <alignment horizontal="right"/>
      <protection/>
    </xf>
    <xf numFmtId="0" fontId="4" fillId="0" borderId="0" xfId="63" applyFont="1">
      <alignment/>
      <protection/>
    </xf>
    <xf numFmtId="0" fontId="5" fillId="0" borderId="11" xfId="63" applyFont="1" applyBorder="1">
      <alignment/>
      <protection/>
    </xf>
    <xf numFmtId="204" fontId="11" fillId="0" borderId="10" xfId="46" applyNumberFormat="1" applyFont="1" applyBorder="1" applyAlignment="1">
      <alignment horizontal="right"/>
    </xf>
    <xf numFmtId="204" fontId="11" fillId="0" borderId="0" xfId="47" applyNumberFormat="1" applyFont="1" applyBorder="1" applyAlignment="1">
      <alignment vertical="center"/>
    </xf>
    <xf numFmtId="204" fontId="11" fillId="0" borderId="0" xfId="47" applyNumberFormat="1" applyFont="1" applyBorder="1" applyAlignment="1">
      <alignment horizontal="right" vertical="center"/>
    </xf>
    <xf numFmtId="204" fontId="5" fillId="0" borderId="0" xfId="64" applyNumberFormat="1" applyFont="1" applyBorder="1" applyAlignment="1">
      <alignment vertical="center"/>
      <protection/>
    </xf>
    <xf numFmtId="204" fontId="5" fillId="0" borderId="10" xfId="64" applyNumberFormat="1" applyFont="1" applyBorder="1" applyAlignment="1">
      <alignment vertical="center"/>
      <protection/>
    </xf>
    <xf numFmtId="204" fontId="11" fillId="0" borderId="10" xfId="47" applyNumberFormat="1" applyFont="1" applyBorder="1" applyAlignment="1">
      <alignment vertical="center"/>
    </xf>
    <xf numFmtId="204" fontId="5" fillId="0" borderId="0" xfId="64" applyNumberFormat="1" applyFont="1" applyBorder="1" applyAlignment="1">
      <alignment horizontal="center"/>
      <protection/>
    </xf>
    <xf numFmtId="204" fontId="5" fillId="0" borderId="11" xfId="64" applyNumberFormat="1" applyFont="1" applyBorder="1" applyAlignment="1">
      <alignment horizontal="center"/>
      <protection/>
    </xf>
    <xf numFmtId="0" fontId="0" fillId="0" borderId="0" xfId="0" applyBorder="1" applyAlignment="1">
      <alignment/>
    </xf>
    <xf numFmtId="0" fontId="27" fillId="0" borderId="0" xfId="63" applyFont="1">
      <alignment/>
      <protection/>
    </xf>
    <xf numFmtId="0" fontId="27" fillId="0" borderId="0" xfId="63" applyFont="1" applyFill="1">
      <alignment/>
      <protection/>
    </xf>
    <xf numFmtId="0" fontId="27" fillId="0" borderId="12" xfId="0" applyFont="1" applyBorder="1" applyAlignment="1">
      <alignment horizontal="left"/>
    </xf>
    <xf numFmtId="0" fontId="27" fillId="0" borderId="0" xfId="64" applyFont="1" applyBorder="1" applyAlignment="1">
      <alignment horizontal="left"/>
      <protection/>
    </xf>
    <xf numFmtId="0" fontId="27" fillId="0" borderId="0" xfId="64" applyFont="1">
      <alignment/>
      <protection/>
    </xf>
    <xf numFmtId="194" fontId="1" fillId="0" borderId="0" xfId="42" applyFont="1" applyAlignment="1">
      <alignment/>
    </xf>
    <xf numFmtId="207" fontId="1" fillId="0" borderId="0" xfId="42" applyNumberFormat="1" applyFont="1" applyAlignment="1">
      <alignment/>
    </xf>
    <xf numFmtId="0" fontId="10" fillId="0" borderId="0" xfId="0" applyFont="1" applyAlignment="1">
      <alignment/>
    </xf>
    <xf numFmtId="0" fontId="10" fillId="0" borderId="0" xfId="64" applyFont="1">
      <alignment/>
      <protection/>
    </xf>
    <xf numFmtId="0" fontId="23" fillId="0" borderId="0" xfId="0" applyFont="1" applyBorder="1" applyAlignment="1">
      <alignment/>
    </xf>
    <xf numFmtId="0" fontId="7" fillId="0" borderId="0" xfId="64" applyFont="1" applyFill="1" applyBorder="1">
      <alignment/>
      <protection/>
    </xf>
    <xf numFmtId="0" fontId="7" fillId="0" borderId="0" xfId="64" applyFont="1" applyFill="1" applyBorder="1" applyAlignment="1">
      <alignment vertical="center"/>
      <protection/>
    </xf>
    <xf numFmtId="0" fontId="7" fillId="0" borderId="0" xfId="63" applyFont="1" applyFill="1" applyBorder="1">
      <alignment/>
      <protection/>
    </xf>
    <xf numFmtId="0" fontId="14" fillId="0" borderId="0" xfId="64" applyFont="1" applyFill="1" applyBorder="1" applyAlignment="1">
      <alignment horizontal="center"/>
      <protection/>
    </xf>
    <xf numFmtId="0" fontId="0" fillId="0" borderId="0" xfId="0" applyFill="1" applyAlignment="1">
      <alignment/>
    </xf>
    <xf numFmtId="0" fontId="12" fillId="0" borderId="0" xfId="64" applyFont="1" applyFill="1">
      <alignment/>
      <protection/>
    </xf>
    <xf numFmtId="0" fontId="4" fillId="0" borderId="0" xfId="64" applyFill="1">
      <alignment/>
      <protection/>
    </xf>
    <xf numFmtId="0" fontId="5" fillId="0" borderId="0" xfId="64" applyFont="1" applyBorder="1" applyAlignment="1">
      <alignment horizontal="left"/>
      <protection/>
    </xf>
    <xf numFmtId="204" fontId="0" fillId="0" borderId="0" xfId="0" applyNumberFormat="1" applyFont="1" applyAlignment="1">
      <alignment/>
    </xf>
    <xf numFmtId="0" fontId="0" fillId="0" borderId="12" xfId="0" applyFont="1" applyBorder="1" applyAlignment="1">
      <alignment/>
    </xf>
    <xf numFmtId="0" fontId="7" fillId="0" borderId="0" xfId="63" applyFont="1" applyFill="1">
      <alignment/>
      <protection/>
    </xf>
    <xf numFmtId="0" fontId="7" fillId="0" borderId="0" xfId="0" applyFont="1" applyAlignment="1">
      <alignment horizontal="right"/>
    </xf>
    <xf numFmtId="0" fontId="24" fillId="0" borderId="0" xfId="63" applyFont="1" applyBorder="1" applyAlignment="1">
      <alignment horizontal="left"/>
      <protection/>
    </xf>
    <xf numFmtId="0" fontId="12" fillId="0" borderId="10" xfId="63" applyFont="1" applyBorder="1">
      <alignment/>
      <protection/>
    </xf>
    <xf numFmtId="0" fontId="24" fillId="0" borderId="0" xfId="63" applyFont="1" applyAlignment="1">
      <alignment horizontal="center"/>
      <protection/>
    </xf>
    <xf numFmtId="0" fontId="25" fillId="0" borderId="12" xfId="0" applyFont="1" applyBorder="1" applyAlignment="1">
      <alignment/>
    </xf>
    <xf numFmtId="0" fontId="11" fillId="0" borderId="0" xfId="64" applyFont="1" applyBorder="1" applyAlignment="1">
      <alignment horizontal="center"/>
      <protection/>
    </xf>
    <xf numFmtId="0" fontId="29" fillId="0" borderId="0" xfId="64" applyFont="1" applyBorder="1" applyAlignment="1">
      <alignment horizontal="center" vertical="center"/>
      <protection/>
    </xf>
    <xf numFmtId="0" fontId="24" fillId="0" borderId="0" xfId="64" applyFont="1" applyAlignment="1">
      <alignment horizontal="center"/>
      <protection/>
    </xf>
    <xf numFmtId="0" fontId="24" fillId="0" borderId="0" xfId="64" applyFont="1" applyAlignment="1">
      <alignment horizontal="center"/>
      <protection/>
    </xf>
    <xf numFmtId="0" fontId="26" fillId="0" borderId="12" xfId="63" applyFont="1" applyBorder="1" applyAlignment="1">
      <alignment horizontal="center"/>
      <protection/>
    </xf>
    <xf numFmtId="204" fontId="26" fillId="0" borderId="12" xfId="46" applyNumberFormat="1" applyFont="1" applyBorder="1" applyAlignment="1">
      <alignment horizontal="center"/>
    </xf>
    <xf numFmtId="0" fontId="15" fillId="0" borderId="0" xfId="63" applyFont="1">
      <alignment/>
      <protection/>
    </xf>
    <xf numFmtId="15" fontId="15" fillId="0" borderId="0" xfId="63" applyNumberFormat="1" applyFont="1">
      <alignment/>
      <protection/>
    </xf>
    <xf numFmtId="204" fontId="15" fillId="0" borderId="0" xfId="46" applyNumberFormat="1" applyFont="1" applyAlignment="1">
      <alignment horizontal="center"/>
    </xf>
    <xf numFmtId="0" fontId="5" fillId="0" borderId="13" xfId="63" applyFont="1" applyBorder="1" applyAlignment="1">
      <alignment horizontal="center"/>
      <protection/>
    </xf>
    <xf numFmtId="0" fontId="7" fillId="0" borderId="15" xfId="63" applyFont="1" applyBorder="1" applyAlignment="1">
      <alignment horizontal="right"/>
      <protection/>
    </xf>
    <xf numFmtId="204" fontId="24" fillId="0" borderId="0" xfId="46" applyNumberFormat="1" applyFont="1" applyAlignment="1">
      <alignment horizontal="center"/>
    </xf>
    <xf numFmtId="0" fontId="22" fillId="0" borderId="0" xfId="64" applyFont="1" applyBorder="1" applyAlignment="1">
      <alignment vertical="center"/>
      <protection/>
    </xf>
    <xf numFmtId="0" fontId="22" fillId="0" borderId="0" xfId="64" applyFont="1" applyBorder="1" applyAlignment="1">
      <alignment horizontal="center" vertical="center"/>
      <protection/>
    </xf>
    <xf numFmtId="4" fontId="11" fillId="0" borderId="0" xfId="47" applyNumberFormat="1" applyFont="1" applyBorder="1" applyAlignment="1">
      <alignment vertical="center"/>
    </xf>
    <xf numFmtId="209" fontId="1" fillId="0" borderId="0" xfId="42" applyNumberFormat="1" applyFont="1" applyAlignment="1">
      <alignment/>
    </xf>
    <xf numFmtId="0" fontId="24" fillId="0" borderId="0" xfId="64" applyFont="1" applyBorder="1" applyAlignment="1">
      <alignment horizontal="left" vertical="top" wrapText="1"/>
      <protection/>
    </xf>
    <xf numFmtId="0" fontId="5" fillId="0" borderId="0" xfId="64" applyFont="1" applyBorder="1" applyAlignment="1">
      <alignment horizontal="center"/>
      <protection/>
    </xf>
    <xf numFmtId="0" fontId="5" fillId="0" borderId="0" xfId="64" applyFont="1" applyBorder="1">
      <alignment/>
      <protection/>
    </xf>
    <xf numFmtId="0" fontId="5" fillId="0" borderId="0" xfId="64" applyFont="1" applyBorder="1" applyAlignment="1">
      <alignment horizontal="center" vertical="center"/>
      <protection/>
    </xf>
    <xf numFmtId="0" fontId="15" fillId="0" borderId="0" xfId="0" applyFont="1" applyBorder="1" applyAlignment="1">
      <alignment/>
    </xf>
    <xf numFmtId="0" fontId="5" fillId="0" borderId="0" xfId="0" applyFont="1" applyAlignment="1">
      <alignment horizontal="left"/>
    </xf>
    <xf numFmtId="0" fontId="5" fillId="0" borderId="0" xfId="63" applyFont="1" applyAlignment="1">
      <alignment horizontal="left"/>
      <protection/>
    </xf>
    <xf numFmtId="0" fontId="11" fillId="0" borderId="10" xfId="63" applyFont="1" applyBorder="1" applyAlignment="1">
      <alignment horizontal="center"/>
      <protection/>
    </xf>
    <xf numFmtId="0" fontId="11" fillId="0" borderId="11" xfId="63" applyFont="1" applyBorder="1">
      <alignment/>
      <protection/>
    </xf>
    <xf numFmtId="0" fontId="11" fillId="0" borderId="11" xfId="63" applyFont="1" applyBorder="1" applyAlignment="1">
      <alignment horizontal="center"/>
      <protection/>
    </xf>
    <xf numFmtId="204" fontId="5" fillId="0" borderId="13" xfId="63" applyNumberFormat="1" applyFont="1" applyBorder="1" applyAlignment="1">
      <alignment horizontal="right"/>
      <protection/>
    </xf>
    <xf numFmtId="0" fontId="16" fillId="0" borderId="0" xfId="63" applyFont="1" applyFill="1" applyBorder="1">
      <alignment/>
      <protection/>
    </xf>
    <xf numFmtId="0" fontId="13" fillId="0" borderId="0" xfId="63" applyFont="1" applyFill="1">
      <alignment/>
      <protection/>
    </xf>
    <xf numFmtId="0" fontId="5" fillId="33" borderId="16" xfId="64" applyFont="1" applyFill="1" applyBorder="1" applyAlignment="1">
      <alignment horizontal="center" vertical="center"/>
      <protection/>
    </xf>
    <xf numFmtId="0" fontId="5" fillId="33" borderId="16" xfId="64" applyFont="1" applyFill="1" applyBorder="1" applyAlignment="1">
      <alignment horizontal="center" vertical="center"/>
      <protection/>
    </xf>
    <xf numFmtId="0" fontId="5" fillId="33" borderId="16" xfId="64" applyFont="1" applyFill="1" applyBorder="1" applyAlignment="1">
      <alignment vertical="center"/>
      <protection/>
    </xf>
    <xf numFmtId="0" fontId="5" fillId="33" borderId="16" xfId="64" applyFont="1" applyFill="1" applyBorder="1" applyAlignment="1">
      <alignment horizontal="center" vertical="top" wrapText="1"/>
      <protection/>
    </xf>
    <xf numFmtId="0" fontId="5" fillId="33" borderId="16" xfId="64" applyFont="1" applyFill="1" applyBorder="1" applyAlignment="1">
      <alignment vertical="top" wrapText="1"/>
      <protection/>
    </xf>
    <xf numFmtId="0" fontId="5" fillId="33" borderId="15" xfId="64" applyFont="1" applyFill="1" applyBorder="1" applyAlignment="1">
      <alignment horizontal="center" vertical="center"/>
      <protection/>
    </xf>
    <xf numFmtId="0" fontId="0" fillId="0" borderId="11" xfId="0" applyBorder="1" applyAlignment="1">
      <alignment/>
    </xf>
    <xf numFmtId="0" fontId="5" fillId="33" borderId="10" xfId="64" applyFont="1" applyFill="1" applyBorder="1" applyAlignment="1">
      <alignment vertical="top" wrapText="1"/>
      <protection/>
    </xf>
    <xf numFmtId="0" fontId="5" fillId="0" borderId="0" xfId="63" applyFont="1" applyBorder="1" applyAlignment="1">
      <alignment vertical="top"/>
      <protection/>
    </xf>
    <xf numFmtId="204" fontId="11" fillId="0" borderId="0" xfId="46" applyNumberFormat="1" applyFont="1" applyBorder="1" applyAlignment="1">
      <alignment horizontal="right" vertical="top"/>
    </xf>
    <xf numFmtId="0" fontId="24" fillId="0" borderId="0" xfId="0" applyFont="1" applyAlignment="1">
      <alignment horizontal="center" vertical="top"/>
    </xf>
    <xf numFmtId="0" fontId="5" fillId="0" borderId="13" xfId="63" applyFont="1" applyBorder="1">
      <alignment/>
      <protection/>
    </xf>
    <xf numFmtId="0" fontId="13" fillId="0" borderId="11" xfId="63" applyFont="1" applyBorder="1">
      <alignment/>
      <protection/>
    </xf>
    <xf numFmtId="0" fontId="12" fillId="0" borderId="11" xfId="63" applyFont="1" applyBorder="1">
      <alignment/>
      <protection/>
    </xf>
    <xf numFmtId="204" fontId="4" fillId="0" borderId="11" xfId="46" applyNumberFormat="1" applyFont="1" applyBorder="1" applyAlignment="1">
      <alignment horizontal="center"/>
    </xf>
    <xf numFmtId="204" fontId="7" fillId="0" borderId="11" xfId="71" applyNumberFormat="1" applyFont="1" applyBorder="1" applyAlignment="1">
      <alignment horizontal="right"/>
      <protection/>
    </xf>
    <xf numFmtId="0" fontId="4" fillId="0" borderId="0" xfId="64" applyFont="1" applyBorder="1">
      <alignment/>
      <protection/>
    </xf>
    <xf numFmtId="0" fontId="11" fillId="0" borderId="11" xfId="64" applyFont="1" applyBorder="1" applyAlignment="1">
      <alignment horizontal="right"/>
      <protection/>
    </xf>
    <xf numFmtId="0" fontId="4" fillId="0" borderId="11" xfId="64" applyFont="1" applyBorder="1">
      <alignment/>
      <protection/>
    </xf>
    <xf numFmtId="203" fontId="12" fillId="0" borderId="0" xfId="45" applyNumberFormat="1" applyFont="1" applyAlignment="1">
      <alignment/>
    </xf>
    <xf numFmtId="203" fontId="0" fillId="0" borderId="0" xfId="0" applyNumberFormat="1" applyFont="1" applyAlignment="1">
      <alignment/>
    </xf>
    <xf numFmtId="203" fontId="4" fillId="0" borderId="0" xfId="63" applyNumberFormat="1" applyFont="1">
      <alignment/>
      <protection/>
    </xf>
    <xf numFmtId="206" fontId="5" fillId="33" borderId="16" xfId="64" applyNumberFormat="1" applyFont="1" applyFill="1" applyBorder="1" applyAlignment="1">
      <alignment horizontal="right" vertical="top"/>
      <protection/>
    </xf>
    <xf numFmtId="206" fontId="5" fillId="0" borderId="13" xfId="47" applyNumberFormat="1" applyFont="1" applyBorder="1" applyAlignment="1">
      <alignment vertical="center"/>
    </xf>
    <xf numFmtId="0" fontId="5" fillId="0" borderId="0" xfId="64" applyFont="1" applyBorder="1" applyAlignment="1">
      <alignment horizontal="left" vertical="top" wrapText="1"/>
      <protection/>
    </xf>
    <xf numFmtId="206" fontId="11" fillId="0" borderId="0" xfId="47" applyNumberFormat="1" applyFont="1" applyBorder="1" applyAlignment="1">
      <alignment vertical="center"/>
    </xf>
    <xf numFmtId="206" fontId="11" fillId="0" borderId="0" xfId="46" applyNumberFormat="1" applyFont="1" applyBorder="1" applyAlignment="1">
      <alignment/>
    </xf>
    <xf numFmtId="206" fontId="29" fillId="0" borderId="0" xfId="47" applyNumberFormat="1" applyFont="1" applyBorder="1" applyAlignment="1">
      <alignment vertical="center"/>
    </xf>
    <xf numFmtId="206" fontId="4" fillId="0" borderId="0" xfId="64" applyNumberFormat="1">
      <alignment/>
      <protection/>
    </xf>
    <xf numFmtId="206" fontId="5" fillId="0" borderId="0" xfId="42" applyNumberFormat="1" applyFont="1" applyBorder="1" applyAlignment="1">
      <alignment horizontal="right"/>
    </xf>
    <xf numFmtId="206" fontId="7" fillId="0" borderId="0" xfId="47" applyNumberFormat="1" applyFont="1" applyBorder="1" applyAlignment="1">
      <alignment/>
    </xf>
    <xf numFmtId="206" fontId="0" fillId="0" borderId="0" xfId="0" applyNumberFormat="1" applyAlignment="1">
      <alignment/>
    </xf>
    <xf numFmtId="0" fontId="24" fillId="0" borderId="0" xfId="64" applyFont="1">
      <alignment/>
      <protection/>
    </xf>
    <xf numFmtId="0" fontId="24" fillId="0" borderId="0" xfId="0" applyFont="1" applyAlignment="1">
      <alignment/>
    </xf>
    <xf numFmtId="0" fontId="24" fillId="0" borderId="10" xfId="64" applyFont="1" applyBorder="1" applyAlignment="1">
      <alignment horizontal="left" vertical="top" wrapText="1"/>
      <protection/>
    </xf>
    <xf numFmtId="0" fontId="24" fillId="0" borderId="0" xfId="64" applyFont="1" applyAlignment="1">
      <alignment vertical="top"/>
      <protection/>
    </xf>
    <xf numFmtId="0" fontId="24" fillId="0" borderId="0" xfId="0" applyFont="1" applyAlignment="1">
      <alignment vertical="top"/>
    </xf>
    <xf numFmtId="0" fontId="24" fillId="0" borderId="0" xfId="64" applyFont="1" applyAlignment="1">
      <alignment vertical="top" wrapText="1"/>
      <protection/>
    </xf>
    <xf numFmtId="0" fontId="24" fillId="0" borderId="0" xfId="0" applyFont="1" applyAlignment="1">
      <alignment vertical="top" wrapText="1"/>
    </xf>
    <xf numFmtId="0" fontId="11" fillId="0" borderId="0" xfId="64" applyFont="1" applyAlignment="1">
      <alignment vertical="top"/>
      <protection/>
    </xf>
    <xf numFmtId="0" fontId="24" fillId="34" borderId="0" xfId="64" applyFont="1" applyFill="1" applyAlignment="1">
      <alignment vertical="top"/>
      <protection/>
    </xf>
    <xf numFmtId="0" fontId="5" fillId="0" borderId="10" xfId="64" applyFont="1" applyBorder="1" applyAlignment="1">
      <alignment horizontal="left" vertical="top" wrapText="1"/>
      <protection/>
    </xf>
    <xf numFmtId="0" fontId="4" fillId="0" borderId="0" xfId="64" applyFont="1" applyAlignment="1">
      <alignment vertical="top"/>
      <protection/>
    </xf>
    <xf numFmtId="0" fontId="10" fillId="0" borderId="0" xfId="64" applyFont="1" applyBorder="1" applyAlignment="1">
      <alignment vertical="top"/>
      <protection/>
    </xf>
    <xf numFmtId="205" fontId="10" fillId="0" borderId="0" xfId="47" applyNumberFormat="1" applyFont="1" applyAlignment="1">
      <alignment/>
    </xf>
    <xf numFmtId="205" fontId="5" fillId="0" borderId="13" xfId="64" applyNumberFormat="1" applyFont="1" applyBorder="1" applyAlignment="1">
      <alignment horizontal="right" vertical="center"/>
      <protection/>
    </xf>
    <xf numFmtId="205" fontId="11" fillId="0" borderId="14" xfId="64" applyNumberFormat="1" applyFont="1" applyBorder="1" applyAlignment="1">
      <alignment vertical="center"/>
      <protection/>
    </xf>
    <xf numFmtId="205" fontId="11" fillId="0" borderId="0" xfId="47" applyNumberFormat="1" applyFont="1" applyBorder="1" applyAlignment="1">
      <alignment horizontal="right" vertical="center"/>
    </xf>
    <xf numFmtId="205" fontId="11" fillId="0" borderId="10" xfId="47" applyNumberFormat="1" applyFont="1" applyBorder="1" applyAlignment="1">
      <alignment vertical="center"/>
    </xf>
    <xf numFmtId="205" fontId="11" fillId="0" borderId="0" xfId="47" applyNumberFormat="1" applyFont="1" applyBorder="1" applyAlignment="1">
      <alignment vertical="center"/>
    </xf>
    <xf numFmtId="205" fontId="0" fillId="0" borderId="0" xfId="0" applyNumberFormat="1" applyAlignment="1">
      <alignment/>
    </xf>
    <xf numFmtId="205" fontId="1" fillId="0" borderId="0" xfId="0" applyNumberFormat="1" applyFont="1" applyAlignment="1">
      <alignment/>
    </xf>
    <xf numFmtId="205" fontId="10" fillId="0" borderId="0" xfId="64" applyNumberFormat="1" applyFont="1">
      <alignment/>
      <protection/>
    </xf>
    <xf numFmtId="205" fontId="5" fillId="0" borderId="13" xfId="47" applyNumberFormat="1" applyFont="1" applyBorder="1" applyAlignment="1">
      <alignment horizontal="right" vertical="center"/>
    </xf>
    <xf numFmtId="205" fontId="11" fillId="0" borderId="14" xfId="47" applyNumberFormat="1" applyFont="1" applyBorder="1" applyAlignment="1">
      <alignment vertical="center"/>
    </xf>
    <xf numFmtId="205" fontId="0" fillId="0" borderId="0" xfId="0" applyNumberFormat="1" applyFont="1" applyAlignment="1">
      <alignment/>
    </xf>
    <xf numFmtId="205" fontId="7" fillId="0" borderId="0" xfId="64" applyNumberFormat="1" applyFont="1">
      <alignment/>
      <protection/>
    </xf>
    <xf numFmtId="205" fontId="7" fillId="0" borderId="0" xfId="64" applyNumberFormat="1" applyFont="1" applyAlignment="1">
      <alignment horizontal="right"/>
      <protection/>
    </xf>
    <xf numFmtId="205" fontId="5" fillId="0" borderId="14" xfId="64" applyNumberFormat="1" applyFont="1" applyBorder="1" applyAlignment="1">
      <alignment vertical="center"/>
      <protection/>
    </xf>
    <xf numFmtId="205" fontId="5" fillId="0" borderId="0" xfId="64" applyNumberFormat="1" applyFont="1" applyBorder="1" applyAlignment="1">
      <alignment vertical="center"/>
      <protection/>
    </xf>
    <xf numFmtId="205" fontId="5" fillId="0" borderId="10" xfId="64" applyNumberFormat="1" applyFont="1" applyBorder="1" applyAlignment="1">
      <alignment vertical="center"/>
      <protection/>
    </xf>
    <xf numFmtId="204" fontId="11" fillId="0" borderId="11" xfId="47" applyNumberFormat="1" applyFont="1" applyBorder="1" applyAlignment="1">
      <alignment horizontal="right" vertical="center"/>
    </xf>
    <xf numFmtId="205" fontId="11" fillId="0" borderId="11" xfId="47" applyNumberFormat="1" applyFont="1" applyBorder="1" applyAlignment="1">
      <alignment horizontal="right" vertical="center"/>
    </xf>
    <xf numFmtId="204" fontId="5" fillId="0" borderId="11" xfId="64" applyNumberFormat="1" applyFont="1" applyBorder="1" applyAlignment="1">
      <alignment vertical="center"/>
      <protection/>
    </xf>
    <xf numFmtId="203" fontId="4" fillId="0" borderId="0" xfId="46" applyNumberFormat="1" applyFont="1" applyAlignment="1">
      <alignment/>
    </xf>
    <xf numFmtId="203" fontId="5" fillId="0" borderId="13" xfId="46" applyNumberFormat="1" applyFont="1" applyBorder="1" applyAlignment="1">
      <alignment horizontal="right"/>
    </xf>
    <xf numFmtId="203" fontId="12" fillId="0" borderId="0" xfId="46" applyNumberFormat="1" applyFont="1" applyBorder="1" applyAlignment="1">
      <alignment/>
    </xf>
    <xf numFmtId="203" fontId="5" fillId="0" borderId="13" xfId="63" applyNumberFormat="1" applyFont="1" applyBorder="1" applyAlignment="1">
      <alignment horizontal="center"/>
      <protection/>
    </xf>
    <xf numFmtId="203" fontId="12" fillId="0" borderId="0" xfId="63" applyNumberFormat="1" applyFont="1">
      <alignment/>
      <protection/>
    </xf>
    <xf numFmtId="203" fontId="0" fillId="0" borderId="0" xfId="0" applyNumberFormat="1" applyAlignment="1">
      <alignment/>
    </xf>
    <xf numFmtId="203" fontId="12" fillId="0" borderId="0" xfId="46" applyNumberFormat="1" applyFont="1" applyAlignment="1">
      <alignment/>
    </xf>
    <xf numFmtId="205" fontId="7" fillId="0" borderId="0" xfId="63" applyNumberFormat="1" applyFont="1" applyAlignment="1">
      <alignment horizontal="right"/>
      <protection/>
    </xf>
    <xf numFmtId="205" fontId="5" fillId="0" borderId="13" xfId="46" applyNumberFormat="1" applyFont="1" applyBorder="1" applyAlignment="1">
      <alignment horizontal="right"/>
    </xf>
    <xf numFmtId="205" fontId="12" fillId="0" borderId="0" xfId="46" applyNumberFormat="1" applyFont="1" applyBorder="1" applyAlignment="1">
      <alignment/>
    </xf>
    <xf numFmtId="205" fontId="5" fillId="0" borderId="10" xfId="46" applyNumberFormat="1" applyFont="1" applyBorder="1" applyAlignment="1">
      <alignment horizontal="center"/>
    </xf>
    <xf numFmtId="205" fontId="5" fillId="0" borderId="0" xfId="46" applyNumberFormat="1" applyFont="1" applyBorder="1" applyAlignment="1">
      <alignment horizontal="center"/>
    </xf>
    <xf numFmtId="205" fontId="12" fillId="0" borderId="0" xfId="63" applyNumberFormat="1" applyFont="1">
      <alignment/>
      <protection/>
    </xf>
    <xf numFmtId="205" fontId="4" fillId="0" borderId="0" xfId="63" applyNumberFormat="1" applyFont="1">
      <alignment/>
      <protection/>
    </xf>
    <xf numFmtId="0" fontId="13" fillId="0" borderId="0" xfId="63" applyFont="1" applyBorder="1">
      <alignment/>
      <protection/>
    </xf>
    <xf numFmtId="205" fontId="4" fillId="0" borderId="0" xfId="46" applyNumberFormat="1" applyFont="1" applyAlignment="1">
      <alignment/>
    </xf>
    <xf numFmtId="205" fontId="12" fillId="0" borderId="0" xfId="46" applyNumberFormat="1" applyFont="1" applyFill="1" applyAlignment="1">
      <alignment/>
    </xf>
    <xf numFmtId="0" fontId="0" fillId="0" borderId="10" xfId="0" applyBorder="1" applyAlignment="1">
      <alignment/>
    </xf>
    <xf numFmtId="0" fontId="13" fillId="0" borderId="10" xfId="63" applyFont="1" applyBorder="1">
      <alignment/>
      <protection/>
    </xf>
    <xf numFmtId="205" fontId="0" fillId="0" borderId="0" xfId="0" applyNumberFormat="1" applyFont="1" applyAlignment="1">
      <alignment/>
    </xf>
    <xf numFmtId="0" fontId="11" fillId="0" borderId="0" xfId="63" applyFont="1" applyFill="1" applyBorder="1" applyAlignment="1">
      <alignment horizontal="left" vertical="top" wrapText="1"/>
      <protection/>
    </xf>
    <xf numFmtId="205" fontId="20" fillId="0" borderId="13" xfId="46" applyNumberFormat="1" applyFont="1" applyBorder="1" applyAlignment="1">
      <alignment horizontal="right"/>
    </xf>
    <xf numFmtId="205" fontId="14" fillId="0" borderId="0" xfId="46" applyNumberFormat="1" applyFont="1" applyBorder="1" applyAlignment="1">
      <alignment/>
    </xf>
    <xf numFmtId="205" fontId="11" fillId="0" borderId="0" xfId="46" applyNumberFormat="1" applyFont="1" applyBorder="1" applyAlignment="1">
      <alignment horizontal="right"/>
    </xf>
    <xf numFmtId="205" fontId="1" fillId="0" borderId="0" xfId="42" applyNumberFormat="1" applyFont="1" applyAlignment="1">
      <alignment/>
    </xf>
    <xf numFmtId="205" fontId="5" fillId="0" borderId="0" xfId="63" applyNumberFormat="1" applyFont="1">
      <alignment/>
      <protection/>
    </xf>
    <xf numFmtId="205" fontId="13" fillId="0" borderId="0" xfId="46" applyNumberFormat="1" applyFont="1" applyBorder="1" applyAlignment="1">
      <alignment horizontal="center"/>
    </xf>
    <xf numFmtId="205" fontId="16" fillId="0" borderId="10" xfId="46" applyNumberFormat="1" applyFont="1" applyBorder="1" applyAlignment="1">
      <alignment horizontal="center"/>
    </xf>
    <xf numFmtId="205" fontId="7" fillId="0" borderId="0" xfId="63" applyNumberFormat="1" applyFont="1" applyFill="1">
      <alignment/>
      <protection/>
    </xf>
    <xf numFmtId="205" fontId="7" fillId="0" borderId="0" xfId="0" applyNumberFormat="1" applyFont="1" applyAlignment="1">
      <alignment horizontal="right"/>
    </xf>
    <xf numFmtId="205" fontId="26" fillId="0" borderId="12" xfId="46" applyNumberFormat="1" applyFont="1" applyBorder="1" applyAlignment="1">
      <alignment horizontal="center"/>
    </xf>
    <xf numFmtId="205" fontId="7" fillId="0" borderId="0" xfId="63" applyNumberFormat="1" applyFont="1" applyBorder="1">
      <alignment/>
      <protection/>
    </xf>
    <xf numFmtId="205" fontId="5" fillId="0" borderId="12" xfId="63" applyNumberFormat="1" applyFont="1" applyBorder="1">
      <alignment/>
      <protection/>
    </xf>
    <xf numFmtId="205" fontId="7" fillId="0" borderId="0" xfId="63" applyNumberFormat="1" applyFont="1" applyAlignment="1">
      <alignment horizontal="right"/>
      <protection/>
    </xf>
    <xf numFmtId="205" fontId="7" fillId="0" borderId="15" xfId="63" applyNumberFormat="1" applyFont="1" applyBorder="1" applyAlignment="1">
      <alignment horizontal="right"/>
      <protection/>
    </xf>
    <xf numFmtId="205" fontId="23" fillId="0" borderId="0" xfId="0" applyNumberFormat="1" applyFont="1" applyAlignment="1">
      <alignment/>
    </xf>
    <xf numFmtId="205" fontId="10" fillId="0" borderId="0" xfId="63" applyNumberFormat="1" applyFont="1">
      <alignment/>
      <protection/>
    </xf>
    <xf numFmtId="205" fontId="4" fillId="0" borderId="0" xfId="63" applyNumberFormat="1">
      <alignment/>
      <protection/>
    </xf>
    <xf numFmtId="205" fontId="5" fillId="0" borderId="11" xfId="46" applyNumberFormat="1" applyFont="1" applyBorder="1" applyAlignment="1">
      <alignment horizontal="center"/>
    </xf>
    <xf numFmtId="0" fontId="0" fillId="0" borderId="0" xfId="0" applyAlignment="1">
      <alignment vertical="top"/>
    </xf>
    <xf numFmtId="208" fontId="10" fillId="0" borderId="0" xfId="42" applyNumberFormat="1" applyFont="1" applyBorder="1" applyAlignment="1">
      <alignment horizontal="right"/>
    </xf>
    <xf numFmtId="0" fontId="5" fillId="0" borderId="0" xfId="63" applyFont="1" applyAlignment="1">
      <alignment vertical="top"/>
      <protection/>
    </xf>
    <xf numFmtId="205" fontId="5" fillId="0" borderId="0" xfId="63" applyNumberFormat="1" applyFont="1" applyAlignment="1">
      <alignment vertical="top"/>
      <protection/>
    </xf>
    <xf numFmtId="0" fontId="12" fillId="0" borderId="0" xfId="63" applyFont="1" applyAlignment="1">
      <alignment vertical="top"/>
      <protection/>
    </xf>
    <xf numFmtId="204" fontId="4" fillId="0" borderId="0" xfId="46" applyNumberFormat="1" applyFont="1" applyAlignment="1">
      <alignment horizontal="center" vertical="top"/>
    </xf>
    <xf numFmtId="0" fontId="0" fillId="0" borderId="12" xfId="0" applyFont="1" applyBorder="1" applyAlignment="1">
      <alignment vertical="top"/>
    </xf>
    <xf numFmtId="205" fontId="0" fillId="0" borderId="12" xfId="0" applyNumberFormat="1" applyFont="1" applyBorder="1" applyAlignment="1">
      <alignment vertical="top"/>
    </xf>
    <xf numFmtId="204" fontId="5" fillId="0" borderId="0" xfId="46" applyNumberFormat="1" applyFont="1" applyBorder="1" applyAlignment="1">
      <alignment vertical="top"/>
    </xf>
    <xf numFmtId="204" fontId="4" fillId="0" borderId="0" xfId="46" applyNumberFormat="1" applyFont="1" applyAlignment="1">
      <alignment vertical="top"/>
    </xf>
    <xf numFmtId="205" fontId="4" fillId="0" borderId="0" xfId="46" applyNumberFormat="1" applyFont="1" applyAlignment="1">
      <alignment vertical="top"/>
    </xf>
    <xf numFmtId="0" fontId="0" fillId="0" borderId="0" xfId="0" applyFont="1" applyAlignment="1">
      <alignment vertical="top"/>
    </xf>
    <xf numFmtId="205" fontId="0" fillId="0" borderId="0" xfId="0" applyNumberFormat="1" applyFont="1" applyAlignment="1">
      <alignment vertical="top"/>
    </xf>
    <xf numFmtId="205" fontId="4" fillId="0" borderId="0" xfId="63" applyNumberFormat="1" applyFont="1" applyAlignment="1">
      <alignment vertical="top"/>
      <protection/>
    </xf>
    <xf numFmtId="205" fontId="7" fillId="0" borderId="0" xfId="63" applyNumberFormat="1" applyFont="1" applyAlignment="1">
      <alignment horizontal="right" vertical="top"/>
      <protection/>
    </xf>
    <xf numFmtId="205" fontId="5" fillId="0" borderId="0" xfId="46" applyNumberFormat="1" applyFont="1" applyBorder="1" applyAlignment="1">
      <alignment vertical="top"/>
    </xf>
    <xf numFmtId="0" fontId="11" fillId="0" borderId="13" xfId="63" applyFont="1" applyBorder="1" applyAlignment="1">
      <alignment horizontal="left" vertical="top"/>
      <protection/>
    </xf>
    <xf numFmtId="205" fontId="11" fillId="0" borderId="11" xfId="46" applyNumberFormat="1" applyFont="1" applyBorder="1" applyAlignment="1">
      <alignment horizontal="right"/>
    </xf>
    <xf numFmtId="205" fontId="11" fillId="0" borderId="0" xfId="46" applyNumberFormat="1" applyFont="1" applyBorder="1" applyAlignment="1">
      <alignment/>
    </xf>
    <xf numFmtId="203" fontId="11" fillId="0" borderId="0" xfId="46" applyNumberFormat="1" applyFont="1" applyBorder="1" applyAlignment="1">
      <alignment horizontal="right"/>
    </xf>
    <xf numFmtId="205" fontId="13" fillId="0" borderId="0" xfId="46" applyNumberFormat="1" applyFont="1" applyAlignment="1">
      <alignment/>
    </xf>
    <xf numFmtId="205" fontId="7" fillId="0" borderId="0" xfId="71" applyNumberFormat="1" applyFont="1" applyBorder="1" applyAlignment="1">
      <alignment horizontal="right"/>
      <protection/>
    </xf>
    <xf numFmtId="205" fontId="7" fillId="0" borderId="0" xfId="71" applyNumberFormat="1" applyFont="1" applyBorder="1">
      <alignment/>
      <protection/>
    </xf>
    <xf numFmtId="205" fontId="18" fillId="0" borderId="0" xfId="42" applyNumberFormat="1" applyFont="1" applyAlignment="1">
      <alignment/>
    </xf>
    <xf numFmtId="205" fontId="10" fillId="0" borderId="0" xfId="71" applyNumberFormat="1" applyFont="1">
      <alignment/>
      <protection/>
    </xf>
    <xf numFmtId="204" fontId="7" fillId="0" borderId="17" xfId="71" applyNumberFormat="1" applyFont="1" applyBorder="1" applyAlignment="1">
      <alignment horizontal="right"/>
      <protection/>
    </xf>
    <xf numFmtId="204" fontId="7" fillId="0" borderId="18" xfId="71" applyNumberFormat="1" applyFont="1" applyBorder="1" applyAlignment="1">
      <alignment horizontal="right"/>
      <protection/>
    </xf>
    <xf numFmtId="205" fontId="7" fillId="0" borderId="19" xfId="71" applyNumberFormat="1" applyFont="1" applyBorder="1" applyAlignment="1">
      <alignment horizontal="right"/>
      <protection/>
    </xf>
    <xf numFmtId="205" fontId="7" fillId="0" borderId="20" xfId="71" applyNumberFormat="1" applyFont="1" applyBorder="1" applyAlignment="1">
      <alignment horizontal="right"/>
      <protection/>
    </xf>
    <xf numFmtId="205" fontId="11" fillId="0" borderId="10" xfId="46" applyNumberFormat="1" applyFont="1" applyBorder="1" applyAlignment="1">
      <alignment horizontal="right"/>
    </xf>
    <xf numFmtId="205" fontId="30" fillId="0" borderId="0" xfId="0" applyNumberFormat="1" applyFont="1" applyAlignment="1">
      <alignment/>
    </xf>
    <xf numFmtId="0" fontId="13" fillId="0" borderId="11" xfId="63" applyFont="1" applyBorder="1">
      <alignment/>
      <protection/>
    </xf>
    <xf numFmtId="205" fontId="1" fillId="0" borderId="0" xfId="46" applyNumberFormat="1" applyFont="1" applyAlignment="1">
      <alignment/>
    </xf>
    <xf numFmtId="203" fontId="7" fillId="0" borderId="0" xfId="71" applyNumberFormat="1" applyFont="1" applyBorder="1" applyAlignment="1">
      <alignment horizontal="right"/>
      <protection/>
    </xf>
    <xf numFmtId="203" fontId="7" fillId="0" borderId="11" xfId="71" applyNumberFormat="1" applyFont="1" applyBorder="1" applyAlignment="1">
      <alignment horizontal="right"/>
      <protection/>
    </xf>
    <xf numFmtId="203" fontId="7" fillId="0" borderId="0" xfId="71" applyNumberFormat="1" applyFont="1" applyBorder="1">
      <alignment/>
      <protection/>
    </xf>
    <xf numFmtId="203" fontId="18" fillId="0" borderId="0" xfId="42" applyNumberFormat="1" applyFont="1" applyAlignment="1">
      <alignment/>
    </xf>
    <xf numFmtId="203" fontId="10" fillId="0" borderId="0" xfId="71" applyNumberFormat="1" applyFont="1">
      <alignment/>
      <protection/>
    </xf>
    <xf numFmtId="203" fontId="0" fillId="0" borderId="0" xfId="0" applyNumberFormat="1" applyFont="1" applyAlignment="1">
      <alignment/>
    </xf>
    <xf numFmtId="203" fontId="7" fillId="0" borderId="19" xfId="71" applyNumberFormat="1" applyFont="1" applyBorder="1" applyAlignment="1">
      <alignment horizontal="right"/>
      <protection/>
    </xf>
    <xf numFmtId="204" fontId="7" fillId="0" borderId="19" xfId="71" applyNumberFormat="1" applyFont="1" applyBorder="1" applyAlignment="1">
      <alignment horizontal="right"/>
      <protection/>
    </xf>
    <xf numFmtId="204" fontId="7" fillId="0" borderId="20" xfId="71" applyNumberFormat="1" applyFont="1" applyBorder="1" applyAlignment="1">
      <alignment horizontal="right"/>
      <protection/>
    </xf>
    <xf numFmtId="1" fontId="5" fillId="0" borderId="0" xfId="46" applyNumberFormat="1" applyFont="1" applyBorder="1" applyAlignment="1">
      <alignment horizontal="right"/>
    </xf>
    <xf numFmtId="203" fontId="11" fillId="0" borderId="0" xfId="46" applyNumberFormat="1" applyFont="1" applyBorder="1" applyAlignment="1">
      <alignment/>
    </xf>
    <xf numFmtId="204" fontId="7" fillId="0" borderId="21" xfId="63" applyNumberFormat="1" applyFont="1" applyBorder="1">
      <alignment/>
      <protection/>
    </xf>
    <xf numFmtId="205" fontId="0" fillId="0" borderId="0" xfId="0" applyNumberFormat="1" applyAlignment="1">
      <alignment/>
    </xf>
    <xf numFmtId="208" fontId="6" fillId="0" borderId="0" xfId="42" applyNumberFormat="1" applyFont="1" applyAlignment="1">
      <alignment/>
    </xf>
    <xf numFmtId="208" fontId="7" fillId="0" borderId="0" xfId="42" applyNumberFormat="1" applyFont="1" applyBorder="1" applyAlignment="1">
      <alignment/>
    </xf>
    <xf numFmtId="208" fontId="11" fillId="0" borderId="0" xfId="42" applyNumberFormat="1" applyFont="1" applyBorder="1" applyAlignment="1">
      <alignment horizontal="right"/>
    </xf>
    <xf numFmtId="208" fontId="11" fillId="0" borderId="11" xfId="42" applyNumberFormat="1" applyFont="1" applyBorder="1" applyAlignment="1">
      <alignment horizontal="right"/>
    </xf>
    <xf numFmtId="208" fontId="10" fillId="0" borderId="0" xfId="42" applyNumberFormat="1" applyFont="1" applyBorder="1" applyAlignment="1">
      <alignment/>
    </xf>
    <xf numFmtId="208" fontId="10" fillId="0" borderId="0" xfId="42" applyNumberFormat="1" applyFont="1" applyAlignment="1">
      <alignment/>
    </xf>
    <xf numFmtId="208" fontId="12" fillId="0" borderId="0" xfId="42" applyNumberFormat="1" applyFont="1" applyAlignment="1">
      <alignment/>
    </xf>
    <xf numFmtId="208" fontId="11" fillId="0" borderId="0" xfId="42" applyNumberFormat="1" applyFont="1" applyBorder="1" applyAlignment="1">
      <alignment/>
    </xf>
    <xf numFmtId="208" fontId="6" fillId="0" borderId="0" xfId="42" applyNumberFormat="1" applyFont="1" applyAlignment="1">
      <alignment horizontal="right"/>
    </xf>
    <xf numFmtId="208" fontId="12" fillId="0" borderId="0" xfId="42" applyNumberFormat="1" applyFont="1" applyAlignment="1">
      <alignment horizontal="right"/>
    </xf>
    <xf numFmtId="208" fontId="10" fillId="0" borderId="0" xfId="42" applyNumberFormat="1" applyFont="1" applyAlignment="1">
      <alignment horizontal="right"/>
    </xf>
    <xf numFmtId="208" fontId="5" fillId="0" borderId="0" xfId="42" applyNumberFormat="1" applyFont="1" applyBorder="1" applyAlignment="1">
      <alignment horizontal="right"/>
    </xf>
    <xf numFmtId="208" fontId="5" fillId="0" borderId="11" xfId="42" applyNumberFormat="1" applyFont="1" applyBorder="1" applyAlignment="1">
      <alignment horizontal="right"/>
    </xf>
    <xf numFmtId="205" fontId="0" fillId="0" borderId="0" xfId="0" applyNumberFormat="1" applyFont="1" applyAlignment="1">
      <alignment/>
    </xf>
    <xf numFmtId="205" fontId="4" fillId="0" borderId="0" xfId="63" applyNumberFormat="1" applyFont="1" applyAlignment="1">
      <alignment/>
      <protection/>
    </xf>
    <xf numFmtId="0" fontId="0" fillId="0" borderId="0" xfId="0" applyFont="1" applyAlignment="1">
      <alignment/>
    </xf>
    <xf numFmtId="0" fontId="0" fillId="0" borderId="0" xfId="0" applyFont="1" applyAlignment="1">
      <alignment horizontal="right"/>
    </xf>
    <xf numFmtId="205" fontId="0" fillId="0" borderId="0" xfId="0" applyNumberFormat="1" applyFont="1" applyAlignment="1">
      <alignment horizontal="right"/>
    </xf>
    <xf numFmtId="204" fontId="5" fillId="0" borderId="0" xfId="46" applyNumberFormat="1" applyFont="1" applyBorder="1" applyAlignment="1">
      <alignment/>
    </xf>
    <xf numFmtId="204" fontId="5" fillId="0" borderId="11" xfId="46" applyNumberFormat="1" applyFont="1" applyBorder="1" applyAlignment="1">
      <alignment/>
    </xf>
    <xf numFmtId="203" fontId="5" fillId="0" borderId="0" xfId="46" applyNumberFormat="1" applyFont="1" applyBorder="1" applyAlignment="1">
      <alignment/>
    </xf>
    <xf numFmtId="203" fontId="5" fillId="0" borderId="11" xfId="46" applyNumberFormat="1" applyFont="1" applyBorder="1" applyAlignment="1">
      <alignment/>
    </xf>
    <xf numFmtId="203" fontId="11" fillId="0" borderId="11" xfId="46" applyNumberFormat="1" applyFont="1" applyBorder="1" applyAlignment="1">
      <alignment horizontal="right"/>
    </xf>
    <xf numFmtId="0" fontId="5" fillId="35" borderId="0" xfId="64" applyFont="1" applyFill="1" applyBorder="1">
      <alignment/>
      <protection/>
    </xf>
    <xf numFmtId="0" fontId="7" fillId="35" borderId="0" xfId="64" applyFont="1" applyFill="1" applyBorder="1" applyAlignment="1">
      <alignment horizontal="center"/>
      <protection/>
    </xf>
    <xf numFmtId="208" fontId="7" fillId="35" borderId="0" xfId="42" applyNumberFormat="1" applyFont="1" applyFill="1" applyBorder="1" applyAlignment="1">
      <alignment/>
    </xf>
    <xf numFmtId="0" fontId="7" fillId="35" borderId="0" xfId="64" applyFont="1" applyFill="1" applyBorder="1">
      <alignment/>
      <protection/>
    </xf>
    <xf numFmtId="204" fontId="7" fillId="35" borderId="0" xfId="46" applyNumberFormat="1" applyFont="1" applyFill="1" applyBorder="1" applyAlignment="1">
      <alignment horizontal="center"/>
    </xf>
    <xf numFmtId="208" fontId="7" fillId="35" borderId="0" xfId="42" applyNumberFormat="1" applyFont="1" applyFill="1" applyBorder="1" applyAlignment="1">
      <alignment horizontal="right"/>
    </xf>
    <xf numFmtId="204" fontId="7" fillId="35" borderId="0" xfId="46" applyNumberFormat="1" applyFont="1" applyFill="1" applyBorder="1" applyAlignment="1">
      <alignment/>
    </xf>
    <xf numFmtId="0" fontId="5" fillId="35" borderId="10" xfId="64" applyFont="1" applyFill="1" applyBorder="1">
      <alignment/>
      <protection/>
    </xf>
    <xf numFmtId="204" fontId="7" fillId="35" borderId="10" xfId="46" applyNumberFormat="1" applyFont="1" applyFill="1" applyBorder="1" applyAlignment="1">
      <alignment horizontal="center"/>
    </xf>
    <xf numFmtId="208" fontId="7" fillId="35" borderId="10" xfId="42" applyNumberFormat="1" applyFont="1" applyFill="1" applyBorder="1" applyAlignment="1">
      <alignment/>
    </xf>
    <xf numFmtId="204" fontId="7" fillId="35" borderId="10" xfId="46" applyNumberFormat="1" applyFont="1" applyFill="1" applyBorder="1" applyAlignment="1">
      <alignment/>
    </xf>
    <xf numFmtId="208" fontId="7" fillId="35" borderId="10" xfId="42" applyNumberFormat="1" applyFont="1" applyFill="1" applyBorder="1" applyAlignment="1">
      <alignment horizontal="right"/>
    </xf>
    <xf numFmtId="0" fontId="7" fillId="35" borderId="10" xfId="64" applyFont="1" applyFill="1" applyBorder="1" applyAlignment="1">
      <alignment horizontal="center"/>
      <protection/>
    </xf>
    <xf numFmtId="204" fontId="5" fillId="35" borderId="10" xfId="64" applyNumberFormat="1" applyFont="1" applyFill="1" applyBorder="1" applyAlignment="1">
      <alignment horizontal="center"/>
      <protection/>
    </xf>
    <xf numFmtId="208" fontId="5" fillId="35" borderId="10" xfId="42" applyNumberFormat="1" applyFont="1" applyFill="1" applyBorder="1" applyAlignment="1">
      <alignment horizontal="right"/>
    </xf>
    <xf numFmtId="204" fontId="7" fillId="35" borderId="0" xfId="46" applyNumberFormat="1" applyFont="1" applyFill="1" applyBorder="1" applyAlignment="1">
      <alignment horizontal="right"/>
    </xf>
    <xf numFmtId="204" fontId="5" fillId="35" borderId="0" xfId="64" applyNumberFormat="1" applyFont="1" applyFill="1" applyBorder="1" applyAlignment="1">
      <alignment horizontal="center"/>
      <protection/>
    </xf>
    <xf numFmtId="208" fontId="5" fillId="35" borderId="0" xfId="42" applyNumberFormat="1" applyFont="1" applyFill="1" applyBorder="1" applyAlignment="1">
      <alignment horizontal="right"/>
    </xf>
    <xf numFmtId="0" fontId="5" fillId="35" borderId="0" xfId="64" applyFont="1" applyFill="1" applyBorder="1" applyAlignment="1">
      <alignment vertical="center"/>
      <protection/>
    </xf>
    <xf numFmtId="0" fontId="7" fillId="35" borderId="0" xfId="64" applyFont="1" applyFill="1" applyBorder="1" applyAlignment="1">
      <alignment horizontal="right"/>
      <protection/>
    </xf>
    <xf numFmtId="204" fontId="7" fillId="35" borderId="10" xfId="46" applyNumberFormat="1" applyFont="1" applyFill="1" applyBorder="1" applyAlignment="1">
      <alignment horizontal="right"/>
    </xf>
    <xf numFmtId="0" fontId="7" fillId="35" borderId="10" xfId="64" applyFont="1" applyFill="1" applyBorder="1" applyAlignment="1">
      <alignment horizontal="right"/>
      <protection/>
    </xf>
    <xf numFmtId="204" fontId="11" fillId="35" borderId="0" xfId="46" applyNumberFormat="1" applyFont="1" applyFill="1" applyBorder="1" applyAlignment="1">
      <alignment horizontal="right"/>
    </xf>
    <xf numFmtId="208" fontId="11" fillId="35" borderId="0" xfId="42" applyNumberFormat="1" applyFont="1" applyFill="1" applyBorder="1" applyAlignment="1">
      <alignment horizontal="right"/>
    </xf>
    <xf numFmtId="203" fontId="11" fillId="35" borderId="0" xfId="46" applyNumberFormat="1" applyFont="1" applyFill="1" applyBorder="1" applyAlignment="1">
      <alignment horizontal="right"/>
    </xf>
    <xf numFmtId="0" fontId="5" fillId="36" borderId="13" xfId="64" applyFont="1" applyFill="1" applyBorder="1" applyAlignment="1">
      <alignment horizontal="center"/>
      <protection/>
    </xf>
    <xf numFmtId="0" fontId="5" fillId="36" borderId="12" xfId="64" applyFont="1" applyFill="1" applyBorder="1" applyAlignment="1">
      <alignment horizontal="right" vertical="center"/>
      <protection/>
    </xf>
    <xf numFmtId="208" fontId="5" fillId="36" borderId="12" xfId="42" applyNumberFormat="1" applyFont="1" applyFill="1" applyBorder="1" applyAlignment="1">
      <alignment horizontal="right" vertical="center"/>
    </xf>
    <xf numFmtId="204" fontId="5" fillId="36" borderId="12" xfId="46" applyNumberFormat="1" applyFont="1" applyFill="1" applyBorder="1" applyAlignment="1">
      <alignment horizontal="right" vertical="center"/>
    </xf>
    <xf numFmtId="208" fontId="5" fillId="36" borderId="13" xfId="42" applyNumberFormat="1" applyFont="1" applyFill="1" applyBorder="1" applyAlignment="1">
      <alignment/>
    </xf>
    <xf numFmtId="0" fontId="12" fillId="35" borderId="0" xfId="63" applyFont="1" applyFill="1" applyBorder="1" applyAlignment="1">
      <alignment/>
      <protection/>
    </xf>
    <xf numFmtId="205" fontId="12" fillId="35" borderId="0" xfId="46" applyNumberFormat="1" applyFont="1" applyFill="1" applyBorder="1" applyAlignment="1">
      <alignment/>
    </xf>
    <xf numFmtId="204" fontId="12" fillId="35" borderId="0" xfId="46" applyNumberFormat="1" applyFont="1" applyFill="1" applyBorder="1" applyAlignment="1">
      <alignment/>
    </xf>
    <xf numFmtId="204" fontId="12" fillId="35" borderId="0" xfId="46" applyNumberFormat="1" applyFont="1" applyFill="1" applyBorder="1" applyAlignment="1">
      <alignment horizontal="right"/>
    </xf>
    <xf numFmtId="205" fontId="12" fillId="35" borderId="0" xfId="46" applyNumberFormat="1" applyFont="1" applyFill="1" applyBorder="1" applyAlignment="1">
      <alignment horizontal="right"/>
    </xf>
    <xf numFmtId="205" fontId="5" fillId="36" borderId="22" xfId="46" applyNumberFormat="1" applyFont="1" applyFill="1" applyBorder="1" applyAlignment="1">
      <alignment horizontal="center" vertical="center"/>
    </xf>
    <xf numFmtId="205" fontId="5" fillId="36" borderId="23" xfId="46" applyNumberFormat="1" applyFont="1" applyFill="1" applyBorder="1" applyAlignment="1">
      <alignment horizontal="center" vertical="center"/>
    </xf>
    <xf numFmtId="0" fontId="5" fillId="36" borderId="24" xfId="63" applyFont="1" applyFill="1" applyBorder="1" applyAlignment="1">
      <alignment horizontal="center" vertical="center"/>
      <protection/>
    </xf>
    <xf numFmtId="205" fontId="5" fillId="36" borderId="25" xfId="46" applyNumberFormat="1" applyFont="1" applyFill="1" applyBorder="1" applyAlignment="1">
      <alignment horizontal="center" vertical="center"/>
    </xf>
    <xf numFmtId="0" fontId="5" fillId="36" borderId="25" xfId="63" applyFont="1" applyFill="1" applyBorder="1" applyAlignment="1">
      <alignment horizontal="center" vertical="center"/>
      <protection/>
    </xf>
    <xf numFmtId="205" fontId="5" fillId="36" borderId="26" xfId="46" applyNumberFormat="1" applyFont="1" applyFill="1" applyBorder="1" applyAlignment="1">
      <alignment horizontal="center" vertical="center"/>
    </xf>
    <xf numFmtId="204" fontId="5" fillId="36" borderId="25" xfId="46" applyNumberFormat="1" applyFont="1" applyFill="1" applyBorder="1" applyAlignment="1">
      <alignment horizontal="center" vertical="center"/>
    </xf>
    <xf numFmtId="203" fontId="5" fillId="36" borderId="25" xfId="46" applyNumberFormat="1" applyFont="1" applyFill="1" applyBorder="1" applyAlignment="1">
      <alignment horizontal="center" vertical="center"/>
    </xf>
    <xf numFmtId="204" fontId="5" fillId="36" borderId="26" xfId="46" applyNumberFormat="1" applyFont="1" applyFill="1" applyBorder="1" applyAlignment="1">
      <alignment horizontal="center" vertical="center"/>
    </xf>
    <xf numFmtId="0" fontId="16" fillId="35" borderId="0" xfId="63" applyFont="1" applyFill="1" applyBorder="1">
      <alignment/>
      <protection/>
    </xf>
    <xf numFmtId="0" fontId="0" fillId="35" borderId="17" xfId="71" applyFont="1" applyFill="1" applyBorder="1">
      <alignment/>
      <protection/>
    </xf>
    <xf numFmtId="205" fontId="0" fillId="35" borderId="0" xfId="71" applyNumberFormat="1" applyFont="1" applyFill="1" applyBorder="1">
      <alignment/>
      <protection/>
    </xf>
    <xf numFmtId="0" fontId="0" fillId="35" borderId="0" xfId="71" applyFont="1" applyFill="1" applyBorder="1">
      <alignment/>
      <protection/>
    </xf>
    <xf numFmtId="205" fontId="0" fillId="35" borderId="19" xfId="71" applyNumberFormat="1" applyFont="1" applyFill="1" applyBorder="1">
      <alignment/>
      <protection/>
    </xf>
    <xf numFmtId="205" fontId="0" fillId="35" borderId="14" xfId="71" applyNumberFormat="1" applyFont="1" applyFill="1" applyBorder="1">
      <alignment/>
      <protection/>
    </xf>
    <xf numFmtId="0" fontId="0" fillId="35" borderId="14" xfId="71" applyFont="1" applyFill="1" applyBorder="1">
      <alignment/>
      <protection/>
    </xf>
    <xf numFmtId="205" fontId="0" fillId="35" borderId="27" xfId="71" applyNumberFormat="1" applyFont="1" applyFill="1" applyBorder="1">
      <alignment/>
      <protection/>
    </xf>
    <xf numFmtId="203" fontId="0" fillId="35" borderId="0" xfId="71" applyNumberFormat="1" applyFont="1" applyFill="1" applyBorder="1">
      <alignment/>
      <protection/>
    </xf>
    <xf numFmtId="0" fontId="0" fillId="35" borderId="19" xfId="71" applyFont="1" applyFill="1" applyBorder="1">
      <alignment/>
      <protection/>
    </xf>
    <xf numFmtId="0" fontId="13" fillId="35" borderId="0" xfId="63" applyFont="1" applyFill="1">
      <alignment/>
      <protection/>
    </xf>
    <xf numFmtId="205" fontId="13" fillId="35" borderId="0" xfId="63" applyNumberFormat="1" applyFont="1" applyFill="1">
      <alignment/>
      <protection/>
    </xf>
    <xf numFmtId="204" fontId="7" fillId="35" borderId="0" xfId="63" applyNumberFormat="1" applyFont="1" applyFill="1" applyBorder="1">
      <alignment/>
      <protection/>
    </xf>
    <xf numFmtId="204" fontId="7" fillId="35" borderId="17" xfId="71" applyNumberFormat="1" applyFont="1" applyFill="1" applyBorder="1" applyAlignment="1">
      <alignment horizontal="right"/>
      <protection/>
    </xf>
    <xf numFmtId="205" fontId="7" fillId="35" borderId="0" xfId="71" applyNumberFormat="1" applyFont="1" applyFill="1" applyBorder="1" applyAlignment="1">
      <alignment horizontal="right"/>
      <protection/>
    </xf>
    <xf numFmtId="204" fontId="7" fillId="35" borderId="0" xfId="71" applyNumberFormat="1" applyFont="1" applyFill="1" applyBorder="1" applyAlignment="1">
      <alignment horizontal="right"/>
      <protection/>
    </xf>
    <xf numFmtId="205" fontId="7" fillId="35" borderId="19" xfId="71" applyNumberFormat="1" applyFont="1" applyFill="1" applyBorder="1" applyAlignment="1">
      <alignment horizontal="right"/>
      <protection/>
    </xf>
    <xf numFmtId="203" fontId="7" fillId="35" borderId="0" xfId="71" applyNumberFormat="1" applyFont="1" applyFill="1" applyBorder="1" applyAlignment="1">
      <alignment horizontal="right"/>
      <protection/>
    </xf>
    <xf numFmtId="204" fontId="7" fillId="35" borderId="19" xfId="71" applyNumberFormat="1" applyFont="1" applyFill="1" applyBorder="1" applyAlignment="1">
      <alignment horizontal="right"/>
      <protection/>
    </xf>
    <xf numFmtId="0" fontId="13" fillId="0" borderId="0" xfId="64" applyFont="1">
      <alignment/>
      <protection/>
    </xf>
    <xf numFmtId="0" fontId="7" fillId="0" borderId="0" xfId="64" applyFont="1" applyAlignment="1">
      <alignment horizontal="right"/>
      <protection/>
    </xf>
    <xf numFmtId="204" fontId="24" fillId="0" borderId="0" xfId="46" applyNumberFormat="1" applyFont="1" applyAlignment="1">
      <alignment vertical="top"/>
    </xf>
    <xf numFmtId="205" fontId="24" fillId="0" borderId="0" xfId="46" applyNumberFormat="1" applyFont="1" applyAlignment="1">
      <alignment vertical="top"/>
    </xf>
    <xf numFmtId="208" fontId="24" fillId="0" borderId="0" xfId="42" applyNumberFormat="1" applyFont="1" applyBorder="1" applyAlignment="1">
      <alignment horizontal="right" vertical="top"/>
    </xf>
    <xf numFmtId="208" fontId="24" fillId="0" borderId="0" xfId="42" applyNumberFormat="1" applyFont="1" applyBorder="1" applyAlignment="1">
      <alignment horizontal="right"/>
    </xf>
    <xf numFmtId="209" fontId="24" fillId="0" borderId="0" xfId="42" applyNumberFormat="1" applyFont="1" applyBorder="1" applyAlignment="1">
      <alignment horizontal="right"/>
    </xf>
    <xf numFmtId="0" fontId="5" fillId="0" borderId="28" xfId="63" applyFont="1" applyBorder="1">
      <alignment/>
      <protection/>
    </xf>
    <xf numFmtId="0" fontId="11" fillId="0" borderId="29" xfId="63" applyFont="1" applyBorder="1" applyAlignment="1">
      <alignment vertical="top" wrapText="1"/>
      <protection/>
    </xf>
    <xf numFmtId="0" fontId="11" fillId="0" borderId="29" xfId="63" applyFont="1" applyBorder="1" applyAlignment="1">
      <alignment vertical="top"/>
      <protection/>
    </xf>
    <xf numFmtId="0" fontId="11" fillId="0" borderId="29" xfId="63" applyFont="1" applyBorder="1">
      <alignment/>
      <protection/>
    </xf>
    <xf numFmtId="0" fontId="24" fillId="0" borderId="29" xfId="63" applyFont="1" applyBorder="1" applyAlignment="1">
      <alignment horizontal="left"/>
      <protection/>
    </xf>
    <xf numFmtId="0" fontId="24" fillId="0" borderId="29" xfId="63" applyFont="1" applyBorder="1" applyAlignment="1">
      <alignment vertical="top" wrapText="1"/>
      <protection/>
    </xf>
    <xf numFmtId="208" fontId="24" fillId="0" borderId="29" xfId="42" applyNumberFormat="1" applyFont="1" applyBorder="1" applyAlignment="1">
      <alignment horizontal="right" vertical="top"/>
    </xf>
    <xf numFmtId="0" fontId="27" fillId="0" borderId="0" xfId="63" applyFont="1" applyBorder="1">
      <alignment/>
      <protection/>
    </xf>
    <xf numFmtId="209" fontId="5" fillId="0" borderId="30" xfId="42" applyNumberFormat="1" applyFont="1" applyBorder="1" applyAlignment="1">
      <alignment horizontal="right"/>
    </xf>
    <xf numFmtId="208" fontId="5" fillId="0" borderId="30" xfId="42" applyNumberFormat="1" applyFont="1" applyBorder="1" applyAlignment="1">
      <alignment horizontal="right"/>
    </xf>
    <xf numFmtId="208" fontId="5" fillId="0" borderId="29" xfId="42" applyNumberFormat="1" applyFont="1" applyBorder="1" applyAlignment="1">
      <alignment horizontal="right"/>
    </xf>
    <xf numFmtId="0" fontId="24" fillId="0" borderId="29" xfId="63" applyFont="1" applyBorder="1" applyAlignment="1">
      <alignment horizontal="center" vertical="top"/>
      <protection/>
    </xf>
    <xf numFmtId="0" fontId="5" fillId="33" borderId="31" xfId="63" applyFont="1" applyFill="1" applyBorder="1" applyAlignment="1">
      <alignment horizontal="right"/>
      <protection/>
    </xf>
    <xf numFmtId="208" fontId="5" fillId="33" borderId="31" xfId="42" applyNumberFormat="1" applyFont="1" applyFill="1" applyBorder="1" applyAlignment="1">
      <alignment horizontal="right"/>
    </xf>
    <xf numFmtId="209" fontId="5" fillId="33" borderId="31" xfId="42" applyNumberFormat="1" applyFont="1" applyFill="1" applyBorder="1" applyAlignment="1">
      <alignment horizontal="right"/>
    </xf>
    <xf numFmtId="0" fontId="5" fillId="0" borderId="29" xfId="63" applyFont="1" applyBorder="1">
      <alignment/>
      <protection/>
    </xf>
    <xf numFmtId="208" fontId="5" fillId="0" borderId="28" xfId="42" applyNumberFormat="1" applyFont="1" applyBorder="1" applyAlignment="1">
      <alignment horizontal="right"/>
    </xf>
    <xf numFmtId="0" fontId="24" fillId="0" borderId="29" xfId="63" applyFont="1" applyBorder="1" applyAlignment="1">
      <alignment horizontal="center" vertical="top" wrapText="1"/>
      <protection/>
    </xf>
    <xf numFmtId="208" fontId="11" fillId="0" borderId="29" xfId="42" applyNumberFormat="1" applyFont="1" applyBorder="1" applyAlignment="1">
      <alignment horizontal="right" vertical="top"/>
    </xf>
    <xf numFmtId="208" fontId="5" fillId="0" borderId="28" xfId="42" applyNumberFormat="1" applyFont="1" applyFill="1" applyBorder="1" applyAlignment="1">
      <alignment horizontal="right"/>
    </xf>
    <xf numFmtId="0" fontId="11" fillId="0" borderId="29" xfId="63" applyFont="1" applyBorder="1" applyAlignment="1" quotePrefix="1">
      <alignment vertical="top" wrapText="1"/>
      <protection/>
    </xf>
    <xf numFmtId="209" fontId="11" fillId="0" borderId="29" xfId="42" applyNumberFormat="1" applyFont="1" applyBorder="1" applyAlignment="1">
      <alignment horizontal="right"/>
    </xf>
    <xf numFmtId="208" fontId="11" fillId="0" borderId="29" xfId="42" applyNumberFormat="1" applyFont="1" applyBorder="1" applyAlignment="1">
      <alignment horizontal="right"/>
    </xf>
    <xf numFmtId="209" fontId="11" fillId="0" borderId="29" xfId="42" applyNumberFormat="1" applyFont="1" applyBorder="1" applyAlignment="1">
      <alignment/>
    </xf>
    <xf numFmtId="0" fontId="24" fillId="0" borderId="0" xfId="63" applyFont="1" applyBorder="1">
      <alignment/>
      <protection/>
    </xf>
    <xf numFmtId="209" fontId="24" fillId="0" borderId="0" xfId="42" applyNumberFormat="1" applyFont="1" applyBorder="1" applyAlignment="1">
      <alignment/>
    </xf>
    <xf numFmtId="208" fontId="24" fillId="0" borderId="0" xfId="42" applyNumberFormat="1" applyFont="1" applyAlignment="1">
      <alignment horizontal="right"/>
    </xf>
    <xf numFmtId="0" fontId="24" fillId="0" borderId="29" xfId="0" applyFont="1" applyBorder="1" applyAlignment="1">
      <alignment/>
    </xf>
    <xf numFmtId="208" fontId="24" fillId="0" borderId="29" xfId="42" applyNumberFormat="1" applyFont="1" applyBorder="1" applyAlignment="1">
      <alignment horizontal="right" vertical="top" wrapText="1"/>
    </xf>
    <xf numFmtId="0" fontId="24" fillId="0" borderId="29" xfId="0" applyFont="1" applyBorder="1" applyAlignment="1">
      <alignment vertical="top"/>
    </xf>
    <xf numFmtId="0" fontId="24" fillId="0" borderId="29" xfId="0" applyFont="1" applyBorder="1" applyAlignment="1">
      <alignment vertical="top" wrapText="1"/>
    </xf>
    <xf numFmtId="209" fontId="24" fillId="0" borderId="29" xfId="42" applyNumberFormat="1" applyFont="1" applyBorder="1" applyAlignment="1">
      <alignment horizontal="right"/>
    </xf>
    <xf numFmtId="208" fontId="24" fillId="0" borderId="29" xfId="42" applyNumberFormat="1" applyFont="1" applyBorder="1" applyAlignment="1">
      <alignment horizontal="right"/>
    </xf>
    <xf numFmtId="209" fontId="24" fillId="0" borderId="29" xfId="42" applyNumberFormat="1" applyFont="1" applyBorder="1" applyAlignment="1">
      <alignment/>
    </xf>
    <xf numFmtId="209" fontId="24" fillId="0" borderId="29" xfId="42" applyNumberFormat="1" applyFont="1" applyBorder="1" applyAlignment="1">
      <alignment horizontal="right" vertical="top"/>
    </xf>
    <xf numFmtId="209" fontId="24" fillId="0" borderId="29" xfId="42" applyNumberFormat="1" applyFont="1" applyBorder="1" applyAlignment="1">
      <alignment vertical="top"/>
    </xf>
    <xf numFmtId="0" fontId="24" fillId="0" borderId="29" xfId="63" applyFont="1" applyBorder="1">
      <alignment/>
      <protection/>
    </xf>
    <xf numFmtId="209" fontId="24" fillId="0" borderId="0" xfId="42" applyNumberFormat="1" applyFont="1" applyAlignment="1">
      <alignment horizontal="right"/>
    </xf>
    <xf numFmtId="209" fontId="24" fillId="0" borderId="0" xfId="42" applyNumberFormat="1" applyFont="1" applyAlignment="1">
      <alignment/>
    </xf>
    <xf numFmtId="0" fontId="4" fillId="0" borderId="29" xfId="0" applyFont="1" applyBorder="1" applyAlignment="1">
      <alignment/>
    </xf>
    <xf numFmtId="0" fontId="5" fillId="33" borderId="31" xfId="63" applyFont="1" applyFill="1" applyBorder="1">
      <alignment/>
      <protection/>
    </xf>
    <xf numFmtId="209" fontId="5" fillId="0" borderId="28" xfId="42" applyNumberFormat="1" applyFont="1" applyBorder="1" applyAlignment="1">
      <alignment horizontal="right"/>
    </xf>
    <xf numFmtId="209" fontId="5" fillId="0" borderId="28" xfId="42" applyNumberFormat="1" applyFont="1" applyBorder="1" applyAlignment="1">
      <alignment/>
    </xf>
    <xf numFmtId="209" fontId="4" fillId="0" borderId="28" xfId="42" applyNumberFormat="1" applyFont="1" applyBorder="1" applyAlignment="1">
      <alignment horizontal="right"/>
    </xf>
    <xf numFmtId="208" fontId="4" fillId="0" borderId="28" xfId="42" applyNumberFormat="1" applyFont="1" applyBorder="1" applyAlignment="1">
      <alignment horizontal="right"/>
    </xf>
    <xf numFmtId="209" fontId="4" fillId="0" borderId="28" xfId="42" applyNumberFormat="1" applyFont="1" applyBorder="1" applyAlignment="1">
      <alignment/>
    </xf>
    <xf numFmtId="0" fontId="24" fillId="0" borderId="29" xfId="0" applyFont="1" applyBorder="1" applyAlignment="1">
      <alignment horizontal="center" vertical="top" wrapText="1"/>
    </xf>
    <xf numFmtId="0" fontId="4" fillId="33" borderId="31" xfId="63" applyFont="1" applyFill="1" applyBorder="1">
      <alignment/>
      <protection/>
    </xf>
    <xf numFmtId="0" fontId="4" fillId="0" borderId="29" xfId="63" applyFont="1" applyBorder="1" applyAlignment="1">
      <alignment horizontal="center" vertical="top" wrapText="1"/>
      <protection/>
    </xf>
    <xf numFmtId="0" fontId="24" fillId="0" borderId="0" xfId="63" applyFont="1" applyBorder="1" applyAlignment="1">
      <alignment horizontal="center" vertical="top"/>
      <protection/>
    </xf>
    <xf numFmtId="0" fontId="4" fillId="33" borderId="31" xfId="63" applyFont="1" applyFill="1" applyBorder="1" applyAlignment="1">
      <alignment horizontal="center" vertical="top"/>
      <protection/>
    </xf>
    <xf numFmtId="0" fontId="4" fillId="0" borderId="28" xfId="63" applyFont="1" applyBorder="1" applyAlignment="1">
      <alignment horizontal="center" vertical="top"/>
      <protection/>
    </xf>
    <xf numFmtId="204" fontId="24" fillId="0" borderId="0" xfId="46" applyNumberFormat="1" applyFont="1" applyBorder="1" applyAlignment="1">
      <alignment horizontal="right" vertical="top"/>
    </xf>
    <xf numFmtId="205" fontId="24" fillId="0" borderId="0" xfId="46" applyNumberFormat="1" applyFont="1" applyBorder="1" applyAlignment="1">
      <alignment horizontal="right" vertical="top"/>
    </xf>
    <xf numFmtId="0" fontId="4" fillId="0" borderId="0" xfId="64" applyFont="1">
      <alignment/>
      <protection/>
    </xf>
    <xf numFmtId="0" fontId="4" fillId="0" borderId="0" xfId="0" applyFont="1" applyAlignment="1">
      <alignment/>
    </xf>
    <xf numFmtId="0" fontId="5" fillId="33" borderId="10" xfId="64" applyFont="1" applyFill="1" applyBorder="1" applyAlignment="1">
      <alignment horizontal="center" vertical="center"/>
      <protection/>
    </xf>
    <xf numFmtId="0" fontId="5" fillId="33" borderId="16" xfId="64" applyFont="1" applyFill="1" applyBorder="1" applyAlignment="1">
      <alignment horizontal="left" vertical="center" wrapText="1"/>
      <protection/>
    </xf>
    <xf numFmtId="0" fontId="4" fillId="33" borderId="16" xfId="64" applyFont="1" applyFill="1" applyBorder="1">
      <alignment/>
      <protection/>
    </xf>
    <xf numFmtId="0" fontId="4" fillId="0" borderId="0" xfId="64" applyFont="1">
      <alignment/>
      <protection/>
    </xf>
    <xf numFmtId="0" fontId="4" fillId="33" borderId="16" xfId="64" applyFont="1" applyFill="1" applyBorder="1" applyAlignment="1">
      <alignment horizontal="left"/>
      <protection/>
    </xf>
    <xf numFmtId="0" fontId="5" fillId="0" borderId="0" xfId="64" applyFont="1">
      <alignment/>
      <protection/>
    </xf>
    <xf numFmtId="0" fontId="7" fillId="0" borderId="0" xfId="64" applyFont="1" applyBorder="1" applyAlignment="1">
      <alignment horizontal="left"/>
      <protection/>
    </xf>
    <xf numFmtId="0" fontId="10" fillId="0" borderId="0" xfId="64" applyFont="1" applyAlignment="1">
      <alignment horizontal="center"/>
      <protection/>
    </xf>
    <xf numFmtId="0" fontId="10" fillId="0" borderId="0" xfId="64" applyFont="1" applyBorder="1">
      <alignment/>
      <protection/>
    </xf>
    <xf numFmtId="0" fontId="10" fillId="0" borderId="0" xfId="64" applyFont="1">
      <alignment/>
      <protection/>
    </xf>
    <xf numFmtId="0" fontId="10" fillId="0" borderId="0" xfId="63" applyFont="1" applyBorder="1" applyAlignment="1">
      <alignment horizontal="left"/>
      <protection/>
    </xf>
    <xf numFmtId="204" fontId="7" fillId="0" borderId="0" xfId="46" applyNumberFormat="1" applyFont="1" applyBorder="1" applyAlignment="1">
      <alignment/>
    </xf>
    <xf numFmtId="0" fontId="7" fillId="0" borderId="0" xfId="63" applyFont="1" applyBorder="1" applyAlignment="1">
      <alignment horizontal="left"/>
      <protection/>
    </xf>
    <xf numFmtId="204" fontId="7" fillId="0" borderId="0" xfId="47" applyNumberFormat="1" applyFont="1" applyBorder="1" applyAlignment="1">
      <alignment vertical="center"/>
    </xf>
    <xf numFmtId="0" fontId="10" fillId="0" borderId="0" xfId="64" applyFont="1" applyBorder="1" applyAlignment="1">
      <alignment horizontal="left"/>
      <protection/>
    </xf>
    <xf numFmtId="204" fontId="22" fillId="0" borderId="0" xfId="47" applyNumberFormat="1" applyFont="1" applyBorder="1" applyAlignment="1">
      <alignment vertical="center"/>
    </xf>
    <xf numFmtId="0" fontId="10" fillId="0" borderId="0" xfId="64" applyFont="1" applyFill="1">
      <alignment/>
      <protection/>
    </xf>
    <xf numFmtId="37" fontId="7" fillId="0" borderId="0" xfId="42" applyNumberFormat="1" applyFont="1" applyBorder="1" applyAlignment="1">
      <alignment horizontal="right"/>
    </xf>
    <xf numFmtId="0" fontId="7" fillId="0" borderId="0" xfId="64" applyFont="1" applyFill="1" applyBorder="1" applyAlignment="1">
      <alignment horizontal="center"/>
      <protection/>
    </xf>
    <xf numFmtId="0" fontId="23" fillId="0" borderId="0" xfId="0" applyFont="1" applyFill="1" applyAlignment="1">
      <alignment/>
    </xf>
    <xf numFmtId="0" fontId="10" fillId="0" borderId="0" xfId="64" applyFont="1" applyAlignment="1">
      <alignment horizontal="center"/>
      <protection/>
    </xf>
    <xf numFmtId="0" fontId="10" fillId="0" borderId="0" xfId="64" applyFont="1" applyFill="1">
      <alignment/>
      <protection/>
    </xf>
    <xf numFmtId="0" fontId="5" fillId="0" borderId="13" xfId="64" applyFont="1" applyBorder="1" applyAlignment="1">
      <alignment horizontal="center" vertical="center"/>
      <protection/>
    </xf>
    <xf numFmtId="0" fontId="5" fillId="0" borderId="13" xfId="64" applyFont="1" applyBorder="1" applyAlignment="1">
      <alignment horizontal="left" vertical="center" wrapText="1"/>
      <protection/>
    </xf>
    <xf numFmtId="0" fontId="5" fillId="0" borderId="13" xfId="64" applyFont="1" applyFill="1" applyBorder="1" applyAlignment="1">
      <alignment horizontal="center" vertical="center"/>
      <protection/>
    </xf>
    <xf numFmtId="203" fontId="5" fillId="0" borderId="13" xfId="47" applyNumberFormat="1" applyFont="1" applyBorder="1" applyAlignment="1">
      <alignment horizontal="center" vertical="center" wrapText="1"/>
    </xf>
    <xf numFmtId="0" fontId="5" fillId="0" borderId="14" xfId="64" applyFont="1" applyBorder="1" applyAlignment="1">
      <alignment horizontal="left" vertical="top"/>
      <protection/>
    </xf>
    <xf numFmtId="0" fontId="32" fillId="0" borderId="0" xfId="64" applyFont="1" applyFill="1" applyBorder="1" applyAlignment="1">
      <alignment horizontal="left" vertical="top" wrapText="1"/>
      <protection/>
    </xf>
    <xf numFmtId="0" fontId="24" fillId="0" borderId="0" xfId="64" applyFont="1" applyBorder="1" applyAlignment="1">
      <alignment horizontal="center" vertical="top"/>
      <protection/>
    </xf>
    <xf numFmtId="206" fontId="24" fillId="0" borderId="0" xfId="47" applyNumberFormat="1" applyFont="1" applyBorder="1" applyAlignment="1">
      <alignment horizontal="right" vertical="top" wrapText="1"/>
    </xf>
    <xf numFmtId="0" fontId="24" fillId="0" borderId="10" xfId="64" applyFont="1" applyBorder="1" applyAlignment="1">
      <alignment horizontal="center" vertical="top" wrapText="1"/>
      <protection/>
    </xf>
    <xf numFmtId="206" fontId="24" fillId="0" borderId="10" xfId="47" applyNumberFormat="1" applyFont="1" applyBorder="1" applyAlignment="1">
      <alignment horizontal="right" vertical="top" wrapText="1"/>
    </xf>
    <xf numFmtId="0" fontId="24" fillId="0" borderId="0" xfId="64" applyFont="1" applyBorder="1" applyAlignment="1">
      <alignment horizontal="center" vertical="top" wrapText="1"/>
      <protection/>
    </xf>
    <xf numFmtId="0" fontId="5" fillId="33" borderId="16" xfId="64" applyFont="1" applyFill="1" applyBorder="1" applyAlignment="1">
      <alignment horizontal="left" vertical="top" wrapText="1"/>
      <protection/>
    </xf>
    <xf numFmtId="0" fontId="33" fillId="0" borderId="0" xfId="0" applyFont="1" applyAlignment="1">
      <alignment/>
    </xf>
    <xf numFmtId="0" fontId="5" fillId="33" borderId="15" xfId="64" applyFont="1" applyFill="1" applyBorder="1" applyAlignment="1">
      <alignment horizontal="left"/>
      <protection/>
    </xf>
    <xf numFmtId="0" fontId="5" fillId="33" borderId="15" xfId="64" applyFont="1" applyFill="1" applyBorder="1" applyAlignment="1">
      <alignment horizontal="center" vertical="center"/>
      <protection/>
    </xf>
    <xf numFmtId="0" fontId="5" fillId="33" borderId="15" xfId="64" applyFont="1" applyFill="1" applyBorder="1">
      <alignment/>
      <protection/>
    </xf>
    <xf numFmtId="206" fontId="5" fillId="33" borderId="15" xfId="64" applyNumberFormat="1" applyFont="1" applyFill="1" applyBorder="1" applyAlignment="1">
      <alignment horizontal="right" vertical="center"/>
      <protection/>
    </xf>
    <xf numFmtId="0" fontId="5" fillId="0" borderId="13" xfId="64" applyFont="1" applyBorder="1" applyAlignment="1">
      <alignment horizontal="left"/>
      <protection/>
    </xf>
    <xf numFmtId="0" fontId="5" fillId="0" borderId="13" xfId="64" applyFont="1" applyBorder="1" applyAlignment="1">
      <alignment vertical="center"/>
      <protection/>
    </xf>
    <xf numFmtId="0" fontId="33" fillId="0" borderId="0" xfId="0" applyFont="1" applyBorder="1" applyAlignment="1">
      <alignment/>
    </xf>
    <xf numFmtId="0" fontId="7" fillId="0" borderId="0" xfId="64" applyFont="1" applyBorder="1" applyAlignment="1">
      <alignment horizontal="center"/>
      <protection/>
    </xf>
    <xf numFmtId="3" fontId="5" fillId="33" borderId="16" xfId="64" applyNumberFormat="1" applyFont="1" applyFill="1" applyBorder="1" applyAlignment="1">
      <alignment horizontal="center" vertical="top"/>
      <protection/>
    </xf>
    <xf numFmtId="204" fontId="5" fillId="0" borderId="13" xfId="47" applyNumberFormat="1" applyFont="1" applyBorder="1" applyAlignment="1">
      <alignment horizontal="center" vertical="center"/>
    </xf>
    <xf numFmtId="0" fontId="23" fillId="0" borderId="0" xfId="0" applyFont="1" applyAlignment="1">
      <alignment horizontal="center"/>
    </xf>
    <xf numFmtId="0" fontId="24" fillId="0" borderId="29" xfId="63" applyFont="1" applyBorder="1" applyAlignment="1">
      <alignment horizontal="left" vertical="top" wrapText="1"/>
      <protection/>
    </xf>
    <xf numFmtId="0" fontId="4" fillId="0" borderId="0" xfId="63" applyFont="1" applyBorder="1" applyAlignment="1">
      <alignment horizontal="center"/>
      <protection/>
    </xf>
    <xf numFmtId="205" fontId="4" fillId="0" borderId="0" xfId="46" applyNumberFormat="1" applyFont="1" applyBorder="1" applyAlignment="1">
      <alignment/>
    </xf>
    <xf numFmtId="204" fontId="4" fillId="0" borderId="0" xfId="46" applyNumberFormat="1" applyFont="1" applyBorder="1" applyAlignment="1">
      <alignment/>
    </xf>
    <xf numFmtId="204" fontId="4" fillId="0" borderId="0" xfId="46" applyNumberFormat="1" applyFont="1" applyBorder="1" applyAlignment="1">
      <alignment horizontal="center"/>
    </xf>
    <xf numFmtId="0" fontId="4" fillId="0" borderId="0" xfId="63" applyFont="1" applyBorder="1">
      <alignment/>
      <protection/>
    </xf>
    <xf numFmtId="205" fontId="4" fillId="0" borderId="0" xfId="63" applyNumberFormat="1" applyFont="1" applyBorder="1">
      <alignment/>
      <protection/>
    </xf>
    <xf numFmtId="208" fontId="5" fillId="33" borderId="13" xfId="42" applyNumberFormat="1" applyFont="1" applyFill="1" applyBorder="1" applyAlignment="1">
      <alignment horizontal="center"/>
    </xf>
    <xf numFmtId="209" fontId="5" fillId="33" borderId="13" xfId="42" applyNumberFormat="1" applyFont="1" applyFill="1" applyBorder="1" applyAlignment="1">
      <alignment horizontal="center"/>
    </xf>
    <xf numFmtId="209" fontId="13" fillId="33" borderId="13" xfId="42" applyNumberFormat="1" applyFont="1" applyFill="1" applyBorder="1" applyAlignment="1">
      <alignment/>
    </xf>
    <xf numFmtId="0" fontId="20" fillId="0" borderId="12" xfId="63" applyFont="1" applyBorder="1" applyAlignment="1">
      <alignment horizontal="right" vertical="center"/>
      <protection/>
    </xf>
    <xf numFmtId="205" fontId="20" fillId="0" borderId="12" xfId="46" applyNumberFormat="1" applyFont="1" applyBorder="1" applyAlignment="1">
      <alignment horizontal="center" vertical="center"/>
    </xf>
    <xf numFmtId="0" fontId="20" fillId="0" borderId="12" xfId="63" applyFont="1" applyBorder="1" applyAlignment="1">
      <alignment horizontal="center" vertical="center"/>
      <protection/>
    </xf>
    <xf numFmtId="205" fontId="5" fillId="0" borderId="0" xfId="63" applyNumberFormat="1" applyFont="1" applyBorder="1">
      <alignment/>
      <protection/>
    </xf>
    <xf numFmtId="208" fontId="5" fillId="0" borderId="13" xfId="42" applyNumberFormat="1" applyFont="1" applyBorder="1" applyAlignment="1">
      <alignment vertical="center"/>
    </xf>
    <xf numFmtId="204" fontId="7" fillId="35" borderId="17" xfId="71" applyNumberFormat="1" applyFont="1" applyFill="1" applyBorder="1">
      <alignment/>
      <protection/>
    </xf>
    <xf numFmtId="205" fontId="7" fillId="35" borderId="0" xfId="71" applyNumberFormat="1" applyFont="1" applyFill="1" applyBorder="1">
      <alignment/>
      <protection/>
    </xf>
    <xf numFmtId="204" fontId="7" fillId="35" borderId="0" xfId="71" applyNumberFormat="1" applyFont="1" applyFill="1" applyBorder="1">
      <alignment/>
      <protection/>
    </xf>
    <xf numFmtId="205" fontId="7" fillId="35" borderId="19" xfId="71" applyNumberFormat="1" applyFont="1" applyFill="1" applyBorder="1">
      <alignment/>
      <protection/>
    </xf>
    <xf numFmtId="203" fontId="7" fillId="35" borderId="0" xfId="71" applyNumberFormat="1" applyFont="1" applyFill="1" applyBorder="1">
      <alignment/>
      <protection/>
    </xf>
    <xf numFmtId="204" fontId="7" fillId="35" borderId="19" xfId="71" applyNumberFormat="1" applyFont="1" applyFill="1" applyBorder="1">
      <alignment/>
      <protection/>
    </xf>
    <xf numFmtId="203" fontId="7" fillId="0" borderId="20" xfId="71" applyNumberFormat="1" applyFont="1" applyBorder="1" applyAlignment="1">
      <alignment horizontal="right"/>
      <protection/>
    </xf>
    <xf numFmtId="204" fontId="7" fillId="0" borderId="11" xfId="63" applyNumberFormat="1" applyFont="1" applyBorder="1">
      <alignment/>
      <protection/>
    </xf>
    <xf numFmtId="0" fontId="16" fillId="0" borderId="11" xfId="63" applyFont="1" applyFill="1" applyBorder="1">
      <alignment/>
      <protection/>
    </xf>
    <xf numFmtId="0" fontId="16" fillId="0" borderId="13" xfId="63" applyFont="1" applyBorder="1" applyAlignment="1">
      <alignment horizontal="center" vertical="center"/>
      <protection/>
    </xf>
    <xf numFmtId="0" fontId="16" fillId="0" borderId="13" xfId="63" applyFont="1" applyBorder="1" applyAlignment="1">
      <alignment vertical="center"/>
      <protection/>
    </xf>
    <xf numFmtId="204" fontId="11" fillId="0" borderId="11" xfId="46" applyNumberFormat="1" applyFont="1" applyBorder="1" applyAlignment="1">
      <alignment/>
    </xf>
    <xf numFmtId="208" fontId="11" fillId="0" borderId="11" xfId="42" applyNumberFormat="1" applyFont="1" applyBorder="1" applyAlignment="1">
      <alignment/>
    </xf>
    <xf numFmtId="208" fontId="7" fillId="0" borderId="19" xfId="42" applyNumberFormat="1" applyFont="1" applyBorder="1" applyAlignment="1">
      <alignment horizontal="right"/>
    </xf>
    <xf numFmtId="208" fontId="7" fillId="0" borderId="0" xfId="42" applyNumberFormat="1" applyFont="1" applyAlignment="1">
      <alignment/>
    </xf>
    <xf numFmtId="208" fontId="7" fillId="0" borderId="13" xfId="42" applyNumberFormat="1" applyFont="1" applyBorder="1" applyAlignment="1">
      <alignment/>
    </xf>
    <xf numFmtId="208" fontId="7" fillId="0" borderId="0" xfId="42" applyNumberFormat="1" applyFont="1" applyBorder="1" applyAlignment="1">
      <alignment horizontal="right"/>
    </xf>
    <xf numFmtId="208" fontId="7" fillId="0" borderId="11" xfId="42" applyNumberFormat="1" applyFont="1" applyBorder="1" applyAlignment="1">
      <alignment horizontal="right"/>
    </xf>
    <xf numFmtId="208" fontId="0" fillId="36" borderId="13" xfId="42" applyNumberFormat="1" applyFont="1" applyFill="1" applyBorder="1" applyAlignment="1">
      <alignment horizontal="right"/>
    </xf>
    <xf numFmtId="209" fontId="0" fillId="36" borderId="13" xfId="42" applyNumberFormat="1" applyFont="1" applyFill="1" applyBorder="1" applyAlignment="1">
      <alignment/>
    </xf>
    <xf numFmtId="0" fontId="5" fillId="36" borderId="13" xfId="63" applyFont="1" applyFill="1" applyBorder="1" applyAlignment="1">
      <alignment horizontal="center"/>
      <protection/>
    </xf>
    <xf numFmtId="205" fontId="5" fillId="36" borderId="13" xfId="46" applyNumberFormat="1" applyFont="1" applyFill="1" applyBorder="1" applyAlignment="1">
      <alignment horizontal="center"/>
    </xf>
    <xf numFmtId="205" fontId="11" fillId="0" borderId="11" xfId="46" applyNumberFormat="1" applyFont="1" applyBorder="1" applyAlignment="1">
      <alignment/>
    </xf>
    <xf numFmtId="208" fontId="5" fillId="0" borderId="0" xfId="42" applyNumberFormat="1" applyFont="1" applyAlignment="1">
      <alignment/>
    </xf>
    <xf numFmtId="208" fontId="0" fillId="0" borderId="12" xfId="42" applyNumberFormat="1" applyFont="1" applyBorder="1" applyAlignment="1">
      <alignment/>
    </xf>
    <xf numFmtId="208" fontId="20" fillId="0" borderId="12" xfId="42" applyNumberFormat="1" applyFont="1" applyBorder="1" applyAlignment="1">
      <alignment horizontal="right" vertical="center"/>
    </xf>
    <xf numFmtId="208" fontId="0" fillId="0" borderId="0" xfId="42" applyNumberFormat="1" applyFont="1" applyAlignment="1">
      <alignment/>
    </xf>
    <xf numFmtId="208" fontId="4" fillId="0" borderId="0" xfId="42" applyNumberFormat="1" applyFont="1" applyAlignment="1">
      <alignment/>
    </xf>
    <xf numFmtId="0" fontId="24" fillId="0" borderId="0" xfId="64" applyFont="1" applyBorder="1">
      <alignment/>
      <protection/>
    </xf>
    <xf numFmtId="203" fontId="5" fillId="0" borderId="0" xfId="64" applyNumberFormat="1" applyFont="1" applyBorder="1" applyAlignment="1">
      <alignment vertical="center"/>
      <protection/>
    </xf>
    <xf numFmtId="203" fontId="5" fillId="0" borderId="11" xfId="64" applyNumberFormat="1" applyFont="1" applyBorder="1" applyAlignment="1">
      <alignment vertical="center"/>
      <protection/>
    </xf>
    <xf numFmtId="0" fontId="9" fillId="0" borderId="14" xfId="64" applyFont="1" applyBorder="1" applyAlignment="1">
      <alignment horizontal="center" vertical="center"/>
      <protection/>
    </xf>
    <xf numFmtId="0" fontId="11" fillId="0" borderId="14" xfId="64" applyFont="1" applyBorder="1" applyAlignment="1">
      <alignment horizontal="left" vertical="center" wrapText="1"/>
      <protection/>
    </xf>
    <xf numFmtId="0" fontId="9" fillId="0" borderId="14" xfId="64" applyFont="1" applyFill="1" applyBorder="1" applyAlignment="1">
      <alignment horizontal="center" vertical="center"/>
      <protection/>
    </xf>
    <xf numFmtId="0" fontId="24" fillId="0" borderId="12" xfId="64" applyFont="1" applyBorder="1" applyAlignment="1">
      <alignment horizontal="center"/>
      <protection/>
    </xf>
    <xf numFmtId="0" fontId="4" fillId="0" borderId="12" xfId="64" applyFill="1" applyBorder="1">
      <alignment/>
      <protection/>
    </xf>
    <xf numFmtId="0" fontId="4" fillId="0" borderId="12" xfId="64" applyBorder="1" applyAlignment="1">
      <alignment horizontal="center" vertical="center"/>
      <protection/>
    </xf>
    <xf numFmtId="209" fontId="5" fillId="0" borderId="30" xfId="42" applyNumberFormat="1" applyFont="1" applyBorder="1" applyAlignment="1">
      <alignment horizontal="center"/>
    </xf>
    <xf numFmtId="0" fontId="24" fillId="0" borderId="29" xfId="63" applyFont="1" applyBorder="1" applyAlignment="1" quotePrefix="1">
      <alignment vertical="top" wrapText="1"/>
      <protection/>
    </xf>
    <xf numFmtId="0" fontId="0" fillId="0" borderId="0" xfId="0" applyAlignment="1">
      <alignment horizontal="center"/>
    </xf>
    <xf numFmtId="0" fontId="7" fillId="0" borderId="0" xfId="64" applyFont="1" applyAlignment="1">
      <alignment horizontal="center"/>
      <protection/>
    </xf>
    <xf numFmtId="0" fontId="4" fillId="0" borderId="0" xfId="64" applyAlignment="1">
      <alignment horizontal="right"/>
      <protection/>
    </xf>
    <xf numFmtId="0" fontId="10" fillId="0" borderId="0" xfId="64" applyFont="1" applyAlignment="1">
      <alignment horizontal="right"/>
      <protection/>
    </xf>
    <xf numFmtId="0" fontId="5" fillId="0" borderId="0" xfId="64" applyFont="1" applyBorder="1" applyAlignment="1">
      <alignment horizontal="right"/>
      <protection/>
    </xf>
    <xf numFmtId="0" fontId="6" fillId="0" borderId="0" xfId="64" applyFont="1" applyAlignment="1">
      <alignment horizontal="right"/>
      <protection/>
    </xf>
    <xf numFmtId="0" fontId="0" fillId="0" borderId="0" xfId="0" applyAlignment="1">
      <alignment horizontal="right"/>
    </xf>
    <xf numFmtId="0" fontId="12" fillId="0" borderId="0" xfId="64" applyFont="1" applyAlignment="1">
      <alignment horizontal="right"/>
      <protection/>
    </xf>
    <xf numFmtId="0" fontId="11" fillId="0" borderId="29" xfId="64" applyFont="1" applyBorder="1" applyAlignment="1">
      <alignment horizontal="center" vertical="top" wrapText="1"/>
      <protection/>
    </xf>
    <xf numFmtId="0" fontId="4" fillId="0" borderId="29" xfId="64" applyFont="1" applyBorder="1" applyAlignment="1">
      <alignment horizontal="center" vertical="top"/>
      <protection/>
    </xf>
    <xf numFmtId="0" fontId="4" fillId="0" borderId="29" xfId="64" applyFont="1" applyBorder="1" applyAlignment="1">
      <alignment horizontal="right" vertical="top"/>
      <protection/>
    </xf>
    <xf numFmtId="0" fontId="11" fillId="33" borderId="32" xfId="64" applyFont="1" applyFill="1" applyBorder="1" applyAlignment="1">
      <alignment horizontal="center" vertical="center"/>
      <protection/>
    </xf>
    <xf numFmtId="0" fontId="24" fillId="33" borderId="31" xfId="64" applyFont="1" applyFill="1" applyBorder="1" applyAlignment="1">
      <alignment horizontal="left" vertical="center" wrapText="1"/>
      <protection/>
    </xf>
    <xf numFmtId="0" fontId="11" fillId="33" borderId="31" xfId="64" applyFont="1" applyFill="1" applyBorder="1" applyAlignment="1">
      <alignment horizontal="center" vertical="center"/>
      <protection/>
    </xf>
    <xf numFmtId="0" fontId="5" fillId="33" borderId="31" xfId="64" applyFont="1" applyFill="1" applyBorder="1" applyAlignment="1">
      <alignment horizontal="center" vertical="center"/>
      <protection/>
    </xf>
    <xf numFmtId="0" fontId="5" fillId="0" borderId="19" xfId="64" applyFont="1" applyBorder="1" applyAlignment="1">
      <alignment horizontal="center" vertical="top" wrapText="1"/>
      <protection/>
    </xf>
    <xf numFmtId="205" fontId="5" fillId="33" borderId="31" xfId="64" applyNumberFormat="1" applyFont="1" applyFill="1" applyBorder="1" applyAlignment="1">
      <alignment horizontal="right" vertical="center"/>
      <protection/>
    </xf>
    <xf numFmtId="0" fontId="7" fillId="0" borderId="33" xfId="64" applyFont="1" applyBorder="1" applyAlignment="1">
      <alignment horizontal="center" vertical="top"/>
      <protection/>
    </xf>
    <xf numFmtId="0" fontId="24" fillId="0" borderId="34" xfId="64" applyFont="1" applyBorder="1" applyAlignment="1">
      <alignment horizontal="left" vertical="top"/>
      <protection/>
    </xf>
    <xf numFmtId="0" fontId="7" fillId="0" borderId="34" xfId="64" applyFont="1" applyBorder="1" applyAlignment="1">
      <alignment horizontal="center" vertical="top"/>
      <protection/>
    </xf>
    <xf numFmtId="0" fontId="5" fillId="0" borderId="34" xfId="64" applyFont="1" applyFill="1" applyBorder="1" applyAlignment="1">
      <alignment horizontal="center" vertical="top"/>
      <protection/>
    </xf>
    <xf numFmtId="204" fontId="5" fillId="0" borderId="34" xfId="47" applyNumberFormat="1" applyFont="1" applyBorder="1" applyAlignment="1">
      <alignment vertical="top"/>
    </xf>
    <xf numFmtId="0" fontId="4" fillId="0" borderId="29" xfId="64" applyFont="1" applyBorder="1" applyAlignment="1">
      <alignment horizontal="left" vertical="top" wrapText="1"/>
      <protection/>
    </xf>
    <xf numFmtId="0" fontId="11" fillId="0" borderId="32" xfId="64" applyFont="1" applyBorder="1" applyAlignment="1">
      <alignment horizontal="center" vertical="top" wrapText="1"/>
      <protection/>
    </xf>
    <xf numFmtId="0" fontId="24" fillId="0" borderId="31" xfId="64" applyFont="1" applyBorder="1" applyAlignment="1">
      <alignment horizontal="left" vertical="top" wrapText="1"/>
      <protection/>
    </xf>
    <xf numFmtId="0" fontId="11" fillId="0" borderId="31" xfId="64" applyFont="1" applyBorder="1" applyAlignment="1">
      <alignment horizontal="center" vertical="top" wrapText="1"/>
      <protection/>
    </xf>
    <xf numFmtId="0" fontId="11" fillId="0" borderId="31" xfId="64" applyFont="1" applyBorder="1" applyAlignment="1">
      <alignment horizontal="center" vertical="top"/>
      <protection/>
    </xf>
    <xf numFmtId="0" fontId="24" fillId="0" borderId="31" xfId="64" applyFont="1" applyBorder="1" applyAlignment="1">
      <alignment horizontal="center" vertical="top"/>
      <protection/>
    </xf>
    <xf numFmtId="0" fontId="24" fillId="0" borderId="31" xfId="64" applyFont="1" applyBorder="1" applyAlignment="1">
      <alignment horizontal="right" vertical="top"/>
      <protection/>
    </xf>
    <xf numFmtId="0" fontId="31" fillId="0" borderId="31" xfId="64" applyFont="1" applyFill="1" applyBorder="1" applyAlignment="1">
      <alignment vertical="top" wrapText="1"/>
      <protection/>
    </xf>
    <xf numFmtId="0" fontId="11" fillId="0" borderId="31" xfId="64" applyFont="1" applyFill="1" applyBorder="1" applyAlignment="1">
      <alignment vertical="top" wrapText="1"/>
      <protection/>
    </xf>
    <xf numFmtId="0" fontId="5" fillId="0" borderId="32" xfId="64" applyFont="1" applyBorder="1" applyAlignment="1">
      <alignment horizontal="center" vertical="top" wrapText="1"/>
      <protection/>
    </xf>
    <xf numFmtId="0" fontId="24" fillId="0" borderId="31" xfId="64" applyFont="1" applyBorder="1" applyAlignment="1">
      <alignment horizontal="left" vertical="top"/>
      <protection/>
    </xf>
    <xf numFmtId="0" fontId="4" fillId="0" borderId="0" xfId="64" applyAlignment="1">
      <alignment/>
      <protection/>
    </xf>
    <xf numFmtId="208" fontId="5" fillId="0" borderId="30" xfId="42" applyNumberFormat="1" applyFont="1" applyBorder="1" applyAlignment="1">
      <alignment/>
    </xf>
    <xf numFmtId="206" fontId="11" fillId="0" borderId="29" xfId="64" applyNumberFormat="1" applyFont="1" applyBorder="1" applyAlignment="1">
      <alignment vertical="top" wrapText="1"/>
      <protection/>
    </xf>
    <xf numFmtId="206" fontId="11" fillId="0" borderId="31" xfId="47" applyNumberFormat="1" applyFont="1" applyBorder="1" applyAlignment="1">
      <alignment vertical="top"/>
    </xf>
    <xf numFmtId="206" fontId="5" fillId="0" borderId="34" xfId="47" applyNumberFormat="1" applyFont="1" applyBorder="1" applyAlignment="1">
      <alignment vertical="top"/>
    </xf>
    <xf numFmtId="206" fontId="11" fillId="0" borderId="0" xfId="46" applyNumberFormat="1" applyFont="1" applyBorder="1" applyAlignment="1">
      <alignment/>
    </xf>
    <xf numFmtId="206" fontId="4" fillId="0" borderId="0" xfId="64" applyNumberFormat="1" applyAlignment="1">
      <alignment/>
      <protection/>
    </xf>
    <xf numFmtId="206" fontId="5" fillId="0" borderId="0" xfId="42" applyNumberFormat="1" applyFont="1" applyBorder="1" applyAlignment="1">
      <alignment/>
    </xf>
    <xf numFmtId="206" fontId="7" fillId="0" borderId="0" xfId="47" applyNumberFormat="1" applyFont="1" applyBorder="1" applyAlignment="1">
      <alignment/>
    </xf>
    <xf numFmtId="206" fontId="0" fillId="0" borderId="0" xfId="0" applyNumberFormat="1" applyAlignment="1">
      <alignment/>
    </xf>
    <xf numFmtId="0" fontId="0" fillId="0" borderId="0" xfId="0" applyAlignment="1">
      <alignment/>
    </xf>
    <xf numFmtId="0" fontId="12" fillId="0" borderId="0" xfId="64" applyFont="1" applyAlignment="1">
      <alignment/>
      <protection/>
    </xf>
    <xf numFmtId="0" fontId="4" fillId="0" borderId="29" xfId="64" applyFont="1" applyBorder="1" applyAlignment="1">
      <alignment vertical="top"/>
      <protection/>
    </xf>
    <xf numFmtId="0" fontId="24" fillId="0" borderId="31" xfId="64" applyFont="1" applyBorder="1" applyAlignment="1">
      <alignment vertical="top"/>
      <protection/>
    </xf>
    <xf numFmtId="0" fontId="7" fillId="0" borderId="0" xfId="64" applyFont="1" applyAlignment="1">
      <alignment/>
      <protection/>
    </xf>
    <xf numFmtId="0" fontId="10" fillId="0" borderId="0" xfId="64" applyFont="1" applyAlignment="1">
      <alignment/>
      <protection/>
    </xf>
    <xf numFmtId="0" fontId="5" fillId="0" borderId="0" xfId="64" applyFont="1" applyBorder="1" applyAlignment="1">
      <alignment/>
      <protection/>
    </xf>
    <xf numFmtId="0" fontId="6" fillId="0" borderId="0" xfId="64" applyFont="1" applyAlignment="1">
      <alignment/>
      <protection/>
    </xf>
    <xf numFmtId="206" fontId="4" fillId="0" borderId="31" xfId="64" applyNumberFormat="1" applyFont="1" applyBorder="1" applyAlignment="1">
      <alignment horizontal="right" vertical="top"/>
      <protection/>
    </xf>
    <xf numFmtId="209" fontId="5" fillId="33" borderId="34" xfId="42" applyNumberFormat="1" applyFont="1" applyFill="1" applyBorder="1" applyAlignment="1">
      <alignment horizontal="right" vertical="center"/>
    </xf>
    <xf numFmtId="208" fontId="5" fillId="33" borderId="34" xfId="42" applyNumberFormat="1" applyFont="1" applyFill="1" applyBorder="1" applyAlignment="1">
      <alignment horizontal="right" vertical="center"/>
    </xf>
    <xf numFmtId="204" fontId="11" fillId="0" borderId="13" xfId="46" applyNumberFormat="1" applyFont="1" applyBorder="1" applyAlignment="1">
      <alignment horizontal="right" vertical="top"/>
    </xf>
    <xf numFmtId="0" fontId="9" fillId="0" borderId="35" xfId="64" applyFont="1" applyBorder="1" applyAlignment="1">
      <alignment horizontal="left" vertical="center" wrapText="1"/>
      <protection/>
    </xf>
    <xf numFmtId="0" fontId="11" fillId="0" borderId="35" xfId="64" applyFont="1" applyBorder="1" applyAlignment="1">
      <alignment horizontal="left" vertical="center" wrapText="1"/>
      <protection/>
    </xf>
    <xf numFmtId="0" fontId="9" fillId="0" borderId="35" xfId="64" applyFont="1" applyBorder="1" applyAlignment="1">
      <alignment horizontal="center" vertical="center"/>
      <protection/>
    </xf>
    <xf numFmtId="0" fontId="9" fillId="0" borderId="35" xfId="64" applyFont="1" applyFill="1" applyBorder="1" applyAlignment="1">
      <alignment horizontal="center" vertical="center"/>
      <protection/>
    </xf>
    <xf numFmtId="0" fontId="4" fillId="0" borderId="30" xfId="64" applyBorder="1" applyAlignment="1">
      <alignment horizontal="center"/>
      <protection/>
    </xf>
    <xf numFmtId="0" fontId="24" fillId="0" borderId="30" xfId="64" applyFont="1" applyBorder="1" applyAlignment="1">
      <alignment horizontal="center"/>
      <protection/>
    </xf>
    <xf numFmtId="0" fontId="4" fillId="0" borderId="30" xfId="64" applyBorder="1" applyAlignment="1">
      <alignment horizontal="center" vertical="center"/>
      <protection/>
    </xf>
    <xf numFmtId="0" fontId="4" fillId="0" borderId="30" xfId="64" applyFill="1" applyBorder="1">
      <alignment/>
      <protection/>
    </xf>
    <xf numFmtId="0" fontId="24" fillId="0" borderId="29" xfId="64" applyFont="1" applyBorder="1" applyAlignment="1">
      <alignment horizontal="left" vertical="top" wrapText="1"/>
      <protection/>
    </xf>
    <xf numFmtId="0" fontId="31" fillId="0" borderId="29" xfId="64" applyFont="1" applyFill="1" applyBorder="1" applyAlignment="1">
      <alignment vertical="top" wrapText="1"/>
      <protection/>
    </xf>
    <xf numFmtId="0" fontId="11" fillId="0" borderId="29" xfId="64" applyFont="1" applyBorder="1" applyAlignment="1">
      <alignment horizontal="center" vertical="top"/>
      <protection/>
    </xf>
    <xf numFmtId="0" fontId="24" fillId="0" borderId="29" xfId="64" applyFont="1" applyBorder="1" applyAlignment="1">
      <alignment horizontal="center" vertical="top"/>
      <protection/>
    </xf>
    <xf numFmtId="0" fontId="24" fillId="0" borderId="29" xfId="64" applyFont="1" applyBorder="1" applyAlignment="1">
      <alignment vertical="top"/>
      <protection/>
    </xf>
    <xf numFmtId="0" fontId="5" fillId="0" borderId="29" xfId="64" applyFont="1" applyBorder="1" applyAlignment="1">
      <alignment horizontal="left" vertical="top" wrapText="1"/>
      <protection/>
    </xf>
    <xf numFmtId="0" fontId="5" fillId="0" borderId="28" xfId="64" applyFont="1" applyBorder="1" applyAlignment="1">
      <alignment horizontal="left" vertical="top"/>
      <protection/>
    </xf>
    <xf numFmtId="0" fontId="24" fillId="0" borderId="29" xfId="64" applyFont="1" applyBorder="1" applyAlignment="1">
      <alignment horizontal="left" vertical="top"/>
      <protection/>
    </xf>
    <xf numFmtId="49" fontId="11" fillId="0" borderId="29" xfId="64" applyNumberFormat="1" applyFont="1" applyBorder="1" applyAlignment="1">
      <alignment horizontal="center" vertical="top" wrapText="1"/>
      <protection/>
    </xf>
    <xf numFmtId="206" fontId="11" fillId="0" borderId="29" xfId="47" applyNumberFormat="1" applyFont="1" applyBorder="1" applyAlignment="1">
      <alignment vertical="top"/>
    </xf>
    <xf numFmtId="0" fontId="11" fillId="0" borderId="29" xfId="64" applyFont="1" applyBorder="1" applyAlignment="1">
      <alignment vertical="top"/>
      <protection/>
    </xf>
    <xf numFmtId="206" fontId="11" fillId="0" borderId="29" xfId="64" applyNumberFormat="1" applyFont="1" applyBorder="1" applyAlignment="1">
      <alignment vertical="top"/>
      <protection/>
    </xf>
    <xf numFmtId="0" fontId="11" fillId="0" borderId="29" xfId="64" applyFont="1" applyBorder="1" applyAlignment="1">
      <alignment horizontal="left" vertical="top"/>
      <protection/>
    </xf>
    <xf numFmtId="0" fontId="31" fillId="0" borderId="29" xfId="64" applyFont="1" applyFill="1" applyBorder="1" applyAlignment="1" quotePrefix="1">
      <alignment vertical="top" wrapText="1"/>
      <protection/>
    </xf>
    <xf numFmtId="0" fontId="5" fillId="0" borderId="29" xfId="64" applyFont="1" applyBorder="1" applyAlignment="1">
      <alignment horizontal="left" vertical="top"/>
      <protection/>
    </xf>
    <xf numFmtId="0" fontId="31" fillId="0" borderId="29" xfId="64" applyFont="1" applyBorder="1" applyAlignment="1">
      <alignment horizontal="center" vertical="top" wrapText="1"/>
      <protection/>
    </xf>
    <xf numFmtId="205" fontId="5" fillId="33" borderId="31" xfId="64" applyNumberFormat="1" applyFont="1" applyFill="1" applyBorder="1" applyAlignment="1">
      <alignment horizontal="center" vertical="center"/>
      <protection/>
    </xf>
    <xf numFmtId="0" fontId="24" fillId="34" borderId="29" xfId="64" applyFont="1" applyFill="1" applyBorder="1" applyAlignment="1">
      <alignment vertical="top"/>
      <protection/>
    </xf>
    <xf numFmtId="0" fontId="11" fillId="0" borderId="29" xfId="64" applyFont="1" applyFill="1" applyBorder="1" applyAlignment="1">
      <alignment vertical="top" wrapText="1"/>
      <protection/>
    </xf>
    <xf numFmtId="0" fontId="24" fillId="0" borderId="29" xfId="64" applyFont="1" applyBorder="1" applyAlignment="1">
      <alignment horizontal="center" vertical="top" wrapText="1"/>
      <protection/>
    </xf>
    <xf numFmtId="0" fontId="24" fillId="0" borderId="29" xfId="64" applyFont="1" applyBorder="1" applyAlignment="1">
      <alignment vertical="top" wrapText="1"/>
      <protection/>
    </xf>
    <xf numFmtId="0" fontId="5" fillId="0" borderId="28" xfId="64" applyFont="1" applyBorder="1" applyAlignment="1">
      <alignment horizontal="left" vertical="top" wrapText="1"/>
      <protection/>
    </xf>
    <xf numFmtId="0" fontId="24" fillId="0" borderId="28" xfId="64" applyFont="1" applyBorder="1" applyAlignment="1">
      <alignment horizontal="left" vertical="top" wrapText="1"/>
      <protection/>
    </xf>
    <xf numFmtId="0" fontId="11" fillId="0" borderId="28" xfId="64" applyFont="1" applyBorder="1" applyAlignment="1">
      <alignment horizontal="center" vertical="top" wrapText="1"/>
      <protection/>
    </xf>
    <xf numFmtId="0" fontId="11" fillId="0" borderId="28" xfId="64" applyFont="1" applyFill="1" applyBorder="1" applyAlignment="1">
      <alignment horizontal="left" vertical="top" wrapText="1"/>
      <protection/>
    </xf>
    <xf numFmtId="0" fontId="24" fillId="0" borderId="28" xfId="0" applyFont="1" applyBorder="1" applyAlignment="1">
      <alignment vertical="top" wrapText="1"/>
    </xf>
    <xf numFmtId="0" fontId="11" fillId="0" borderId="28" xfId="64" applyFont="1" applyBorder="1" applyAlignment="1">
      <alignment vertical="top" wrapText="1"/>
      <protection/>
    </xf>
    <xf numFmtId="0" fontId="5" fillId="0" borderId="34" xfId="64" applyFont="1" applyBorder="1" applyAlignment="1">
      <alignment horizontal="left" vertical="top"/>
      <protection/>
    </xf>
    <xf numFmtId="192" fontId="11" fillId="0" borderId="29" xfId="64" applyNumberFormat="1" applyFont="1" applyBorder="1" applyAlignment="1">
      <alignment vertical="top"/>
      <protection/>
    </xf>
    <xf numFmtId="1" fontId="5" fillId="33" borderId="31" xfId="64" applyNumberFormat="1" applyFont="1" applyFill="1" applyBorder="1" applyAlignment="1">
      <alignment horizontal="right" vertical="center"/>
      <protection/>
    </xf>
    <xf numFmtId="0" fontId="4" fillId="0" borderId="0" xfId="63" applyFont="1" applyBorder="1" applyAlignment="1">
      <alignment horizontal="center"/>
      <protection/>
    </xf>
    <xf numFmtId="203" fontId="4" fillId="0" borderId="0" xfId="63" applyNumberFormat="1" applyFont="1" applyBorder="1" applyAlignment="1">
      <alignment horizontal="center"/>
      <protection/>
    </xf>
    <xf numFmtId="205" fontId="4" fillId="0" borderId="0" xfId="63" applyNumberFormat="1" applyFont="1" applyBorder="1" applyAlignment="1">
      <alignment horizontal="center"/>
      <protection/>
    </xf>
    <xf numFmtId="194" fontId="4" fillId="0" borderId="0" xfId="63" applyNumberFormat="1" applyFont="1" applyBorder="1" applyAlignment="1">
      <alignment horizontal="center"/>
      <protection/>
    </xf>
    <xf numFmtId="0" fontId="4" fillId="0" borderId="10" xfId="63" applyFont="1" applyBorder="1" applyAlignment="1">
      <alignment horizontal="center"/>
      <protection/>
    </xf>
    <xf numFmtId="203" fontId="4" fillId="0" borderId="10" xfId="46" applyNumberFormat="1" applyFont="1" applyBorder="1" applyAlignment="1">
      <alignment/>
    </xf>
    <xf numFmtId="205" fontId="4" fillId="0" borderId="10" xfId="46" applyNumberFormat="1" applyFont="1" applyBorder="1" applyAlignment="1">
      <alignment/>
    </xf>
    <xf numFmtId="204" fontId="4" fillId="0" borderId="10" xfId="46" applyNumberFormat="1" applyFont="1" applyBorder="1" applyAlignment="1">
      <alignment horizontal="center"/>
    </xf>
    <xf numFmtId="205" fontId="4" fillId="0" borderId="10" xfId="46" applyNumberFormat="1" applyFont="1" applyBorder="1" applyAlignment="1">
      <alignment horizontal="center"/>
    </xf>
    <xf numFmtId="203" fontId="4" fillId="0" borderId="10" xfId="46" applyNumberFormat="1" applyFont="1" applyBorder="1" applyAlignment="1">
      <alignment horizontal="center"/>
    </xf>
    <xf numFmtId="204" fontId="4" fillId="0" borderId="10" xfId="46" applyNumberFormat="1" applyFont="1" applyBorder="1" applyAlignment="1">
      <alignment/>
    </xf>
    <xf numFmtId="209" fontId="4" fillId="0" borderId="0" xfId="63" applyNumberFormat="1" applyFont="1" applyBorder="1" applyAlignment="1">
      <alignment horizontal="center"/>
      <protection/>
    </xf>
    <xf numFmtId="203" fontId="4" fillId="0" borderId="10" xfId="46" applyNumberFormat="1" applyFont="1" applyBorder="1" applyAlignment="1">
      <alignment horizontal="right"/>
    </xf>
    <xf numFmtId="205" fontId="4" fillId="0" borderId="10" xfId="46" applyNumberFormat="1" applyFont="1" applyBorder="1" applyAlignment="1">
      <alignment horizontal="right"/>
    </xf>
    <xf numFmtId="204" fontId="4" fillId="0" borderId="10" xfId="46" applyNumberFormat="1" applyFont="1" applyBorder="1" applyAlignment="1">
      <alignment horizontal="right"/>
    </xf>
    <xf numFmtId="0" fontId="4" fillId="0" borderId="11" xfId="63" applyFont="1" applyBorder="1" applyAlignment="1">
      <alignment horizontal="center"/>
      <protection/>
    </xf>
    <xf numFmtId="203" fontId="4" fillId="0" borderId="11" xfId="46" applyNumberFormat="1" applyFont="1" applyBorder="1" applyAlignment="1">
      <alignment horizontal="right"/>
    </xf>
    <xf numFmtId="205" fontId="4" fillId="0" borderId="11" xfId="46" applyNumberFormat="1" applyFont="1" applyBorder="1" applyAlignment="1">
      <alignment horizontal="right"/>
    </xf>
    <xf numFmtId="204" fontId="4" fillId="0" borderId="11" xfId="46" applyNumberFormat="1" applyFont="1" applyBorder="1" applyAlignment="1">
      <alignment horizontal="right"/>
    </xf>
    <xf numFmtId="0" fontId="4" fillId="0" borderId="0" xfId="63" applyFont="1" applyAlignment="1">
      <alignment horizontal="center"/>
      <protection/>
    </xf>
    <xf numFmtId="203" fontId="4" fillId="0" borderId="0" xfId="46" applyNumberFormat="1" applyFont="1" applyAlignment="1">
      <alignment/>
    </xf>
    <xf numFmtId="205" fontId="4" fillId="0" borderId="0" xfId="46" applyNumberFormat="1" applyFont="1" applyAlignment="1">
      <alignment/>
    </xf>
    <xf numFmtId="204" fontId="4" fillId="0" borderId="0" xfId="46" applyNumberFormat="1" applyFont="1" applyAlignment="1">
      <alignment/>
    </xf>
    <xf numFmtId="0" fontId="4" fillId="0" borderId="0" xfId="63" applyFont="1">
      <alignment/>
      <protection/>
    </xf>
    <xf numFmtId="205" fontId="4" fillId="0" borderId="0" xfId="63" applyNumberFormat="1" applyFont="1">
      <alignment/>
      <protection/>
    </xf>
    <xf numFmtId="204" fontId="4" fillId="0" borderId="0" xfId="46" applyNumberFormat="1" applyFont="1" applyAlignment="1">
      <alignment horizontal="center"/>
    </xf>
    <xf numFmtId="203" fontId="4" fillId="0" borderId="0" xfId="63" applyNumberFormat="1" applyFont="1">
      <alignment/>
      <protection/>
    </xf>
    <xf numFmtId="208" fontId="4" fillId="0" borderId="0" xfId="63" applyNumberFormat="1" applyFont="1" applyBorder="1" applyAlignment="1">
      <alignment horizontal="center"/>
      <protection/>
    </xf>
    <xf numFmtId="209" fontId="4" fillId="0" borderId="10" xfId="46" applyNumberFormat="1" applyFont="1" applyBorder="1" applyAlignment="1">
      <alignment horizontal="center"/>
    </xf>
    <xf numFmtId="203" fontId="11" fillId="0" borderId="0" xfId="46" applyNumberFormat="1" applyFont="1" applyBorder="1" applyAlignment="1">
      <alignment horizontal="center"/>
    </xf>
    <xf numFmtId="1" fontId="7" fillId="0" borderId="18" xfId="71" applyNumberFormat="1" applyFont="1" applyBorder="1" applyAlignment="1">
      <alignment horizontal="right"/>
      <protection/>
    </xf>
    <xf numFmtId="1" fontId="7" fillId="0" borderId="11" xfId="71" applyNumberFormat="1" applyFont="1" applyBorder="1" applyAlignment="1">
      <alignment horizontal="right"/>
      <protection/>
    </xf>
    <xf numFmtId="205" fontId="5" fillId="0" borderId="13" xfId="46" applyNumberFormat="1" applyFont="1" applyBorder="1" applyAlignment="1">
      <alignment horizontal="center"/>
    </xf>
    <xf numFmtId="205" fontId="7" fillId="0" borderId="0" xfId="63" applyNumberFormat="1" applyFont="1" applyAlignment="1">
      <alignment/>
      <protection/>
    </xf>
    <xf numFmtId="205" fontId="5" fillId="0" borderId="13" xfId="46" applyNumberFormat="1" applyFont="1" applyBorder="1" applyAlignment="1">
      <alignment/>
    </xf>
    <xf numFmtId="205" fontId="12" fillId="0" borderId="0" xfId="46" applyNumberFormat="1" applyFont="1" applyBorder="1" applyAlignment="1">
      <alignment/>
    </xf>
    <xf numFmtId="205" fontId="5" fillId="0" borderId="0" xfId="46" applyNumberFormat="1" applyFont="1" applyBorder="1" applyAlignment="1">
      <alignment/>
    </xf>
    <xf numFmtId="208" fontId="5" fillId="33" borderId="13" xfId="42" applyNumberFormat="1" applyFont="1" applyFill="1" applyBorder="1" applyAlignment="1">
      <alignment/>
    </xf>
    <xf numFmtId="205" fontId="0" fillId="0" borderId="0" xfId="0" applyNumberFormat="1" applyFont="1" applyAlignment="1">
      <alignment/>
    </xf>
    <xf numFmtId="0" fontId="4" fillId="0" borderId="11" xfId="63" applyFont="1" applyBorder="1" applyAlignment="1">
      <alignment horizontal="center"/>
      <protection/>
    </xf>
    <xf numFmtId="205" fontId="4" fillId="0" borderId="11" xfId="46" applyNumberFormat="1" applyFont="1" applyBorder="1" applyAlignment="1">
      <alignment/>
    </xf>
    <xf numFmtId="204" fontId="4" fillId="0" borderId="11" xfId="46" applyNumberFormat="1" applyFont="1" applyBorder="1" applyAlignment="1">
      <alignment/>
    </xf>
    <xf numFmtId="0" fontId="4" fillId="0" borderId="11" xfId="63" applyFont="1" applyBorder="1">
      <alignment/>
      <protection/>
    </xf>
    <xf numFmtId="205" fontId="4" fillId="0" borderId="11" xfId="63" applyNumberFormat="1" applyFont="1" applyBorder="1">
      <alignment/>
      <protection/>
    </xf>
    <xf numFmtId="206" fontId="5" fillId="33" borderId="31" xfId="64" applyNumberFormat="1" applyFont="1" applyFill="1" applyBorder="1" applyAlignment="1">
      <alignment vertical="center"/>
      <protection/>
    </xf>
    <xf numFmtId="3" fontId="5" fillId="33" borderId="31" xfId="64" applyNumberFormat="1" applyFont="1" applyFill="1" applyBorder="1" applyAlignment="1">
      <alignment vertical="center"/>
      <protection/>
    </xf>
    <xf numFmtId="0" fontId="24" fillId="0" borderId="11" xfId="63" applyFont="1" applyBorder="1">
      <alignment/>
      <protection/>
    </xf>
    <xf numFmtId="209" fontId="5" fillId="36" borderId="13" xfId="42" applyNumberFormat="1" applyFont="1" applyFill="1" applyBorder="1" applyAlignment="1">
      <alignment/>
    </xf>
    <xf numFmtId="206" fontId="7" fillId="0" borderId="0" xfId="64" applyNumberFormat="1" applyFont="1" applyAlignment="1">
      <alignment horizontal="right"/>
      <protection/>
    </xf>
    <xf numFmtId="205" fontId="3" fillId="0" borderId="0" xfId="58" applyNumberFormat="1" applyAlignment="1" applyProtection="1">
      <alignment/>
      <protection/>
    </xf>
    <xf numFmtId="208" fontId="5" fillId="0" borderId="30" xfId="42" applyNumberFormat="1" applyFont="1" applyBorder="1" applyAlignment="1">
      <alignment horizontal="center"/>
    </xf>
    <xf numFmtId="205" fontId="5" fillId="0" borderId="13" xfId="47" applyNumberFormat="1" applyFont="1" applyBorder="1" applyAlignment="1">
      <alignment horizontal="center" vertical="center"/>
    </xf>
    <xf numFmtId="205" fontId="5" fillId="0" borderId="13" xfId="64" applyNumberFormat="1" applyFont="1" applyBorder="1" applyAlignment="1">
      <alignment horizontal="center" vertical="center"/>
      <protection/>
    </xf>
    <xf numFmtId="204" fontId="7" fillId="0" borderId="18" xfId="63" applyNumberFormat="1" applyFont="1" applyBorder="1">
      <alignment/>
      <protection/>
    </xf>
    <xf numFmtId="0" fontId="24" fillId="0" borderId="0" xfId="64" applyFont="1" applyBorder="1" applyAlignment="1">
      <alignment vertical="top" wrapText="1"/>
      <protection/>
    </xf>
    <xf numFmtId="0" fontId="24" fillId="0" borderId="0" xfId="64" applyFont="1" applyBorder="1" applyAlignment="1">
      <alignment horizontal="left" vertical="top" wrapText="1"/>
      <protection/>
    </xf>
    <xf numFmtId="209" fontId="24" fillId="0" borderId="29" xfId="42" applyNumberFormat="1" applyFont="1" applyFill="1" applyBorder="1" applyAlignment="1">
      <alignment vertical="top"/>
    </xf>
    <xf numFmtId="209" fontId="24" fillId="0" borderId="29" xfId="42" applyNumberFormat="1" applyFont="1" applyFill="1" applyBorder="1" applyAlignment="1">
      <alignment horizontal="right" vertical="top"/>
    </xf>
    <xf numFmtId="208" fontId="24" fillId="0" borderId="29" xfId="42" applyNumberFormat="1" applyFont="1" applyFill="1" applyBorder="1" applyAlignment="1">
      <alignment horizontal="right" vertical="top" wrapText="1"/>
    </xf>
    <xf numFmtId="0" fontId="24" fillId="0" borderId="29" xfId="0" applyFont="1" applyBorder="1" applyAlignment="1">
      <alignment vertical="top" wrapText="1"/>
    </xf>
    <xf numFmtId="208" fontId="24" fillId="0" borderId="29" xfId="42" applyNumberFormat="1" applyFont="1" applyBorder="1" applyAlignment="1">
      <alignment horizontal="right" vertical="top"/>
    </xf>
    <xf numFmtId="0" fontId="24" fillId="0" borderId="29" xfId="63" applyFont="1" applyBorder="1" applyAlignment="1">
      <alignment vertical="top" wrapText="1"/>
      <protection/>
    </xf>
    <xf numFmtId="0" fontId="24" fillId="0" borderId="29" xfId="63" applyFont="1" applyFill="1" applyBorder="1" applyAlignment="1">
      <alignment vertical="top" wrapText="1"/>
      <protection/>
    </xf>
    <xf numFmtId="0" fontId="24" fillId="0" borderId="0" xfId="0" applyFont="1" applyBorder="1" applyAlignment="1">
      <alignment/>
    </xf>
    <xf numFmtId="208" fontId="24" fillId="0" borderId="29" xfId="42" applyNumberFormat="1" applyFont="1" applyFill="1" applyBorder="1" applyAlignment="1">
      <alignment horizontal="right" vertical="top"/>
    </xf>
    <xf numFmtId="0" fontId="24" fillId="0" borderId="0" xfId="0" applyFont="1" applyAlignment="1">
      <alignment vertical="top" wrapText="1"/>
    </xf>
    <xf numFmtId="208" fontId="24" fillId="0" borderId="29" xfId="42" applyNumberFormat="1" applyFont="1" applyBorder="1" applyAlignment="1">
      <alignment horizontal="right" vertical="top" wrapText="1"/>
    </xf>
    <xf numFmtId="0" fontId="24" fillId="0" borderId="29" xfId="63" applyFont="1" applyFill="1" applyBorder="1" applyAlignment="1" quotePrefix="1">
      <alignment horizontal="left" vertical="top" wrapText="1"/>
      <protection/>
    </xf>
    <xf numFmtId="204" fontId="24" fillId="0" borderId="0" xfId="46" applyNumberFormat="1" applyFont="1" applyBorder="1" applyAlignment="1">
      <alignment horizontal="right" vertical="top"/>
    </xf>
    <xf numFmtId="205" fontId="24" fillId="0" borderId="0" xfId="46" applyNumberFormat="1" applyFont="1" applyBorder="1" applyAlignment="1">
      <alignment horizontal="right" vertical="top"/>
    </xf>
    <xf numFmtId="205" fontId="24" fillId="0" borderId="0" xfId="0" applyNumberFormat="1" applyFont="1" applyAlignment="1">
      <alignment vertical="top"/>
    </xf>
    <xf numFmtId="209" fontId="5" fillId="0" borderId="29" xfId="42" applyNumberFormat="1" applyFont="1" applyBorder="1" applyAlignment="1">
      <alignment horizontal="center"/>
    </xf>
    <xf numFmtId="208" fontId="5" fillId="0" borderId="29" xfId="42" applyNumberFormat="1" applyFont="1" applyBorder="1" applyAlignment="1">
      <alignment horizontal="right" vertical="center" textRotation="60"/>
    </xf>
    <xf numFmtId="208" fontId="4" fillId="0" borderId="29" xfId="42" applyNumberFormat="1" applyFont="1" applyBorder="1" applyAlignment="1">
      <alignment horizontal="right"/>
    </xf>
    <xf numFmtId="208" fontId="24" fillId="0" borderId="0" xfId="42" applyNumberFormat="1" applyFont="1" applyBorder="1" applyAlignment="1">
      <alignment horizontal="right" vertical="top"/>
    </xf>
    <xf numFmtId="203" fontId="24" fillId="0" borderId="0" xfId="46" applyNumberFormat="1" applyFont="1" applyBorder="1" applyAlignment="1">
      <alignment horizontal="right" vertical="top"/>
    </xf>
    <xf numFmtId="203" fontId="24" fillId="0" borderId="0" xfId="46" applyNumberFormat="1" applyFont="1" applyBorder="1" applyAlignment="1">
      <alignment horizontal="right" vertical="top"/>
    </xf>
    <xf numFmtId="203" fontId="5" fillId="0" borderId="0" xfId="46" applyNumberFormat="1" applyFont="1" applyBorder="1" applyAlignment="1">
      <alignment horizontal="center"/>
    </xf>
    <xf numFmtId="0" fontId="24" fillId="0" borderId="29" xfId="64" applyFont="1" applyBorder="1" applyAlignment="1">
      <alignment horizontal="center" vertical="top"/>
      <protection/>
    </xf>
    <xf numFmtId="206" fontId="24" fillId="0" borderId="29" xfId="47" applyNumberFormat="1" applyFont="1" applyBorder="1" applyAlignment="1">
      <alignment vertical="top"/>
    </xf>
    <xf numFmtId="0" fontId="24" fillId="0" borderId="29" xfId="64" applyFont="1" applyBorder="1" applyAlignment="1">
      <alignment vertical="top"/>
      <protection/>
    </xf>
    <xf numFmtId="205" fontId="24" fillId="0" borderId="29" xfId="64" applyNumberFormat="1" applyFont="1" applyBorder="1" applyAlignment="1">
      <alignment vertical="top"/>
      <protection/>
    </xf>
    <xf numFmtId="0" fontId="24" fillId="0" borderId="28" xfId="64" applyFont="1" applyBorder="1" applyAlignment="1">
      <alignment horizontal="center" vertical="top" wrapText="1"/>
      <protection/>
    </xf>
    <xf numFmtId="206" fontId="24" fillId="0" borderId="28" xfId="47" applyNumberFormat="1" applyFont="1" applyBorder="1" applyAlignment="1">
      <alignment vertical="top" wrapText="1"/>
    </xf>
    <xf numFmtId="209" fontId="5" fillId="33" borderId="31" xfId="64" applyNumberFormat="1" applyFont="1" applyFill="1" applyBorder="1" applyAlignment="1">
      <alignment horizontal="center" vertical="center"/>
      <protection/>
    </xf>
    <xf numFmtId="0" fontId="24" fillId="0" borderId="29" xfId="64" applyFont="1" applyBorder="1" applyAlignment="1">
      <alignment horizontal="center" vertical="top" wrapText="1"/>
      <protection/>
    </xf>
    <xf numFmtId="206" fontId="24" fillId="0" borderId="29" xfId="47" applyNumberFormat="1" applyFont="1" applyBorder="1" applyAlignment="1">
      <alignment vertical="top" wrapText="1"/>
    </xf>
    <xf numFmtId="208" fontId="5" fillId="33" borderId="31" xfId="64" applyNumberFormat="1" applyFont="1" applyFill="1" applyBorder="1" applyAlignment="1">
      <alignment horizontal="center" vertical="center"/>
      <protection/>
    </xf>
    <xf numFmtId="192" fontId="11" fillId="0" borderId="28" xfId="64" applyNumberFormat="1" applyFont="1" applyBorder="1" applyAlignment="1">
      <alignment vertical="top"/>
      <protection/>
    </xf>
    <xf numFmtId="206" fontId="11" fillId="0" borderId="28" xfId="64" applyNumberFormat="1" applyFont="1" applyBorder="1" applyAlignment="1">
      <alignment vertical="top"/>
      <protection/>
    </xf>
    <xf numFmtId="43" fontId="1" fillId="0" borderId="0" xfId="0" applyNumberFormat="1" applyFont="1" applyAlignment="1">
      <alignment/>
    </xf>
    <xf numFmtId="0" fontId="24" fillId="0" borderId="31" xfId="64" applyFont="1" applyBorder="1" applyAlignment="1">
      <alignment horizontal="center" vertical="top"/>
      <protection/>
    </xf>
    <xf numFmtId="206" fontId="24" fillId="0" borderId="31" xfId="47" applyNumberFormat="1" applyFont="1" applyBorder="1" applyAlignment="1">
      <alignment vertical="top"/>
    </xf>
    <xf numFmtId="209" fontId="24" fillId="0" borderId="29" xfId="42" applyNumberFormat="1" applyFont="1" applyBorder="1" applyAlignment="1">
      <alignment vertical="top"/>
    </xf>
    <xf numFmtId="208" fontId="5" fillId="0" borderId="13" xfId="42" applyNumberFormat="1" applyFont="1" applyBorder="1" applyAlignment="1">
      <alignment horizontal="center"/>
    </xf>
    <xf numFmtId="205" fontId="11" fillId="0" borderId="0" xfId="64" applyNumberFormat="1" applyFont="1" applyBorder="1" applyAlignment="1">
      <alignment horizontal="right"/>
      <protection/>
    </xf>
    <xf numFmtId="209" fontId="24" fillId="0" borderId="29" xfId="42" applyNumberFormat="1" applyFont="1" applyBorder="1" applyAlignment="1">
      <alignment horizontal="right" vertical="top"/>
    </xf>
    <xf numFmtId="208" fontId="24" fillId="0" borderId="29" xfId="42" applyNumberFormat="1" applyFont="1" applyBorder="1" applyAlignment="1">
      <alignment horizontal="right"/>
    </xf>
    <xf numFmtId="209" fontId="24" fillId="0" borderId="29" xfId="42" applyNumberFormat="1" applyFont="1" applyBorder="1" applyAlignment="1">
      <alignment vertical="top" wrapText="1"/>
    </xf>
    <xf numFmtId="209" fontId="24" fillId="0" borderId="29" xfId="42" applyNumberFormat="1" applyFont="1" applyBorder="1" applyAlignment="1">
      <alignment/>
    </xf>
    <xf numFmtId="0" fontId="24" fillId="0" borderId="29" xfId="0" applyFont="1" applyBorder="1" applyAlignment="1">
      <alignment vertical="top"/>
    </xf>
    <xf numFmtId="208" fontId="24" fillId="0" borderId="29" xfId="42" applyNumberFormat="1" applyFont="1" applyBorder="1" applyAlignment="1">
      <alignment vertical="top"/>
    </xf>
    <xf numFmtId="209" fontId="24" fillId="0" borderId="29" xfId="42" applyNumberFormat="1" applyFont="1" applyBorder="1" applyAlignment="1">
      <alignment horizontal="right" vertical="top" wrapText="1"/>
    </xf>
    <xf numFmtId="209" fontId="4" fillId="0" borderId="29" xfId="42" applyNumberFormat="1" applyFont="1" applyFill="1" applyBorder="1" applyAlignment="1">
      <alignment horizontal="right" vertical="top"/>
    </xf>
    <xf numFmtId="208" fontId="4" fillId="0" borderId="29" xfId="42" applyNumberFormat="1" applyFont="1" applyFill="1" applyBorder="1" applyAlignment="1">
      <alignment horizontal="right" vertical="top" wrapText="1"/>
    </xf>
    <xf numFmtId="209" fontId="4" fillId="0" borderId="29" xfId="42" applyNumberFormat="1" applyFont="1" applyFill="1" applyBorder="1" applyAlignment="1">
      <alignment vertical="top"/>
    </xf>
    <xf numFmtId="208" fontId="4" fillId="0" borderId="29" xfId="42" applyNumberFormat="1" applyFont="1" applyFill="1" applyBorder="1" applyAlignment="1">
      <alignment horizontal="right" vertical="top"/>
    </xf>
    <xf numFmtId="204" fontId="7" fillId="0" borderId="21" xfId="71" applyNumberFormat="1" applyFont="1" applyBorder="1" applyAlignment="1">
      <alignment vertical="center"/>
      <protection/>
    </xf>
    <xf numFmtId="203" fontId="7" fillId="0" borderId="33" xfId="71" applyNumberFormat="1" applyFont="1" applyBorder="1" applyAlignment="1">
      <alignment horizontal="right" vertical="center"/>
      <protection/>
    </xf>
    <xf numFmtId="208" fontId="5" fillId="0" borderId="0" xfId="42" applyNumberFormat="1" applyFont="1" applyBorder="1" applyAlignment="1">
      <alignment/>
    </xf>
    <xf numFmtId="0" fontId="16" fillId="0" borderId="0" xfId="63" applyFont="1" applyBorder="1" applyAlignment="1">
      <alignment horizontal="right"/>
      <protection/>
    </xf>
    <xf numFmtId="205" fontId="16" fillId="0" borderId="0" xfId="63" applyNumberFormat="1" applyFont="1" applyBorder="1" applyAlignment="1">
      <alignment horizontal="right"/>
      <protection/>
    </xf>
    <xf numFmtId="0" fontId="16" fillId="0" borderId="0" xfId="63" applyFont="1" applyBorder="1" applyAlignment="1">
      <alignment horizontal="center"/>
      <protection/>
    </xf>
    <xf numFmtId="205" fontId="16" fillId="0" borderId="0" xfId="63" applyNumberFormat="1" applyFont="1" applyBorder="1" applyAlignment="1">
      <alignment horizontal="center"/>
      <protection/>
    </xf>
    <xf numFmtId="0" fontId="16" fillId="0" borderId="11" xfId="63" applyFont="1" applyBorder="1" applyAlignment="1">
      <alignment horizontal="center"/>
      <protection/>
    </xf>
    <xf numFmtId="205" fontId="16" fillId="0" borderId="11" xfId="63" applyNumberFormat="1" applyFont="1" applyBorder="1" applyAlignment="1">
      <alignment horizontal="center"/>
      <protection/>
    </xf>
    <xf numFmtId="208" fontId="16" fillId="0" borderId="0" xfId="42" applyNumberFormat="1" applyFont="1" applyBorder="1" applyAlignment="1">
      <alignment horizontal="right"/>
    </xf>
    <xf numFmtId="208" fontId="0" fillId="0" borderId="0" xfId="42" applyNumberFormat="1" applyFont="1" applyAlignment="1">
      <alignment/>
    </xf>
    <xf numFmtId="208" fontId="26" fillId="0" borderId="12" xfId="42" applyNumberFormat="1" applyFont="1" applyBorder="1" applyAlignment="1">
      <alignment horizontal="center"/>
    </xf>
    <xf numFmtId="208" fontId="12" fillId="0" borderId="0" xfId="42" applyNumberFormat="1" applyFont="1" applyBorder="1" applyAlignment="1">
      <alignment/>
    </xf>
    <xf numFmtId="208" fontId="5" fillId="0" borderId="12" xfId="42" applyNumberFormat="1" applyFont="1" applyBorder="1" applyAlignment="1">
      <alignment/>
    </xf>
    <xf numFmtId="208" fontId="5" fillId="0" borderId="0" xfId="42" applyNumberFormat="1" applyFont="1" applyBorder="1" applyAlignment="1">
      <alignment/>
    </xf>
    <xf numFmtId="208" fontId="7" fillId="0" borderId="15" xfId="42" applyNumberFormat="1" applyFont="1" applyBorder="1" applyAlignment="1">
      <alignment horizontal="right"/>
    </xf>
    <xf numFmtId="208" fontId="5" fillId="0" borderId="13" xfId="42" applyNumberFormat="1" applyFont="1" applyBorder="1" applyAlignment="1">
      <alignment horizontal="right"/>
    </xf>
    <xf numFmtId="208" fontId="4" fillId="0" borderId="0" xfId="42" applyNumberFormat="1" applyFont="1" applyAlignment="1">
      <alignment horizontal="right"/>
    </xf>
    <xf numFmtId="208" fontId="7" fillId="0" borderId="0" xfId="42" applyNumberFormat="1" applyFont="1" applyAlignment="1">
      <alignment horizontal="right"/>
    </xf>
    <xf numFmtId="208" fontId="26" fillId="0" borderId="12" xfId="42" applyNumberFormat="1" applyFont="1" applyBorder="1" applyAlignment="1">
      <alignment horizontal="right"/>
    </xf>
    <xf numFmtId="208" fontId="12" fillId="0" borderId="0" xfId="42" applyNumberFormat="1" applyFont="1" applyBorder="1" applyAlignment="1">
      <alignment horizontal="right"/>
    </xf>
    <xf numFmtId="208" fontId="5" fillId="0" borderId="12" xfId="42" applyNumberFormat="1" applyFont="1" applyBorder="1" applyAlignment="1">
      <alignment horizontal="right"/>
    </xf>
    <xf numFmtId="208" fontId="0" fillId="0" borderId="0" xfId="42" applyNumberFormat="1" applyFont="1" applyAlignment="1">
      <alignment horizontal="right"/>
    </xf>
    <xf numFmtId="208" fontId="4" fillId="0" borderId="29" xfId="42" applyNumberFormat="1" applyFont="1" applyBorder="1" applyAlignment="1">
      <alignment horizontal="right" vertical="top" wrapText="1"/>
    </xf>
    <xf numFmtId="208" fontId="5" fillId="0" borderId="13" xfId="42" applyNumberFormat="1" applyFont="1" applyBorder="1" applyAlignment="1">
      <alignment horizontal="center"/>
    </xf>
    <xf numFmtId="208" fontId="11" fillId="0" borderId="0" xfId="42" applyNumberFormat="1" applyFont="1" applyBorder="1" applyAlignment="1">
      <alignment horizontal="center"/>
    </xf>
    <xf numFmtId="208" fontId="11" fillId="0" borderId="11" xfId="42" applyNumberFormat="1" applyFont="1" applyBorder="1" applyAlignment="1">
      <alignment horizontal="center"/>
    </xf>
    <xf numFmtId="208" fontId="11" fillId="0" borderId="10" xfId="42" applyNumberFormat="1" applyFont="1" applyBorder="1" applyAlignment="1">
      <alignment horizontal="right"/>
    </xf>
    <xf numFmtId="208" fontId="4" fillId="0" borderId="11" xfId="42" applyNumberFormat="1" applyFont="1" applyBorder="1" applyAlignment="1">
      <alignment/>
    </xf>
    <xf numFmtId="208" fontId="4" fillId="0" borderId="0" xfId="42" applyNumberFormat="1" applyFont="1" applyBorder="1" applyAlignment="1">
      <alignment/>
    </xf>
    <xf numFmtId="208" fontId="0" fillId="0" borderId="0" xfId="42" applyNumberFormat="1" applyFont="1" applyAlignment="1">
      <alignment/>
    </xf>
    <xf numFmtId="208" fontId="24" fillId="0" borderId="0" xfId="42" applyNumberFormat="1" applyFont="1" applyBorder="1" applyAlignment="1">
      <alignment/>
    </xf>
    <xf numFmtId="208" fontId="7" fillId="0" borderId="0" xfId="42" applyNumberFormat="1" applyFont="1" applyAlignment="1">
      <alignment/>
    </xf>
    <xf numFmtId="208" fontId="24" fillId="0" borderId="11" xfId="42" applyNumberFormat="1" applyFont="1" applyBorder="1" applyAlignment="1">
      <alignment/>
    </xf>
    <xf numFmtId="208" fontId="7" fillId="0" borderId="0" xfId="42" applyNumberFormat="1" applyFont="1" applyAlignment="1">
      <alignment/>
    </xf>
    <xf numFmtId="208" fontId="5" fillId="36" borderId="13" xfId="42" applyNumberFormat="1" applyFont="1" applyFill="1" applyBorder="1" applyAlignment="1">
      <alignment horizontal="center"/>
    </xf>
    <xf numFmtId="208" fontId="12" fillId="35" borderId="0" xfId="42" applyNumberFormat="1" applyFont="1" applyFill="1" applyBorder="1" applyAlignment="1">
      <alignment/>
    </xf>
    <xf numFmtId="208" fontId="0" fillId="0" borderId="0" xfId="42" applyNumberFormat="1" applyFont="1" applyAlignment="1">
      <alignment/>
    </xf>
    <xf numFmtId="203" fontId="7" fillId="0" borderId="13" xfId="71" applyNumberFormat="1" applyFont="1" applyBorder="1" applyAlignment="1">
      <alignment vertical="center"/>
      <protection/>
    </xf>
    <xf numFmtId="204" fontId="7" fillId="0" borderId="13" xfId="71" applyNumberFormat="1" applyFont="1" applyBorder="1" applyAlignment="1">
      <alignment vertical="center"/>
      <protection/>
    </xf>
    <xf numFmtId="203" fontId="7" fillId="0" borderId="33" xfId="71" applyNumberFormat="1" applyFont="1" applyBorder="1" applyAlignment="1">
      <alignment vertical="center"/>
      <protection/>
    </xf>
    <xf numFmtId="0" fontId="24" fillId="0" borderId="29" xfId="63" applyFont="1" applyBorder="1" applyAlignment="1">
      <alignment vertical="top"/>
      <protection/>
    </xf>
    <xf numFmtId="0" fontId="24" fillId="0" borderId="0" xfId="63" applyFont="1" applyBorder="1" applyAlignment="1">
      <alignment horizontal="right"/>
      <protection/>
    </xf>
    <xf numFmtId="205" fontId="24" fillId="0" borderId="0" xfId="46" applyNumberFormat="1" applyFont="1" applyBorder="1" applyAlignment="1">
      <alignment horizontal="right"/>
    </xf>
    <xf numFmtId="1" fontId="24" fillId="0" borderId="0" xfId="63" applyNumberFormat="1" applyFont="1" applyBorder="1" applyAlignment="1">
      <alignment horizontal="right"/>
      <protection/>
    </xf>
    <xf numFmtId="205" fontId="24" fillId="0" borderId="0" xfId="63" applyNumberFormat="1" applyFont="1" applyBorder="1" applyAlignment="1">
      <alignment horizontal="right"/>
      <protection/>
    </xf>
    <xf numFmtId="0" fontId="24" fillId="0" borderId="10" xfId="63" applyFont="1" applyBorder="1" applyAlignment="1">
      <alignment horizontal="right"/>
      <protection/>
    </xf>
    <xf numFmtId="205" fontId="24" fillId="0" borderId="10" xfId="46" applyNumberFormat="1" applyFont="1" applyBorder="1" applyAlignment="1">
      <alignment/>
    </xf>
    <xf numFmtId="204" fontId="24" fillId="0" borderId="10" xfId="46" applyNumberFormat="1" applyFont="1" applyBorder="1" applyAlignment="1">
      <alignment/>
    </xf>
    <xf numFmtId="204" fontId="24" fillId="0" borderId="10" xfId="46" applyNumberFormat="1" applyFont="1" applyBorder="1" applyAlignment="1">
      <alignment horizontal="center"/>
    </xf>
    <xf numFmtId="0" fontId="24" fillId="0" borderId="0" xfId="63" applyFont="1">
      <alignment/>
      <protection/>
    </xf>
    <xf numFmtId="204" fontId="24" fillId="0" borderId="0" xfId="46" applyNumberFormat="1" applyFont="1" applyBorder="1" applyAlignment="1">
      <alignment horizontal="center"/>
    </xf>
    <xf numFmtId="203" fontId="24" fillId="0" borderId="0" xfId="46" applyNumberFormat="1" applyFont="1" applyBorder="1" applyAlignment="1">
      <alignment horizontal="right"/>
    </xf>
    <xf numFmtId="208" fontId="24" fillId="37" borderId="29" xfId="42" applyNumberFormat="1" applyFont="1" applyFill="1" applyBorder="1" applyAlignment="1">
      <alignment horizontal="right" vertical="top"/>
    </xf>
    <xf numFmtId="0" fontId="4" fillId="0" borderId="0" xfId="46" applyNumberFormat="1" applyFont="1" applyAlignment="1">
      <alignment/>
    </xf>
    <xf numFmtId="208" fontId="24" fillId="0" borderId="0" xfId="42" applyNumberFormat="1" applyFont="1" applyAlignment="1">
      <alignment vertical="top"/>
    </xf>
    <xf numFmtId="0" fontId="24" fillId="0" borderId="29" xfId="0" applyFont="1" applyBorder="1" applyAlignment="1">
      <alignment wrapText="1"/>
    </xf>
    <xf numFmtId="0" fontId="24" fillId="0" borderId="29" xfId="63" applyFont="1" applyBorder="1" applyAlignment="1">
      <alignment horizontal="left"/>
      <protection/>
    </xf>
    <xf numFmtId="0" fontId="24" fillId="0" borderId="29" xfId="63" applyFont="1" applyBorder="1">
      <alignment/>
      <protection/>
    </xf>
    <xf numFmtId="0" fontId="72" fillId="0" borderId="29" xfId="63" applyFont="1" applyBorder="1">
      <alignment/>
      <protection/>
    </xf>
    <xf numFmtId="0" fontId="73" fillId="0" borderId="29" xfId="63" applyFont="1" applyBorder="1" applyAlignment="1" quotePrefix="1">
      <alignment horizontal="left"/>
      <protection/>
    </xf>
    <xf numFmtId="0" fontId="24" fillId="0" borderId="28" xfId="64" applyFont="1" applyBorder="1" applyAlignment="1">
      <alignment vertical="top" wrapText="1"/>
      <protection/>
    </xf>
    <xf numFmtId="0" fontId="24" fillId="0" borderId="29" xfId="64" applyFont="1" applyBorder="1" applyAlignment="1">
      <alignment horizontal="right" vertical="top"/>
      <protection/>
    </xf>
    <xf numFmtId="1" fontId="11" fillId="0" borderId="0" xfId="46" applyNumberFormat="1" applyFont="1" applyBorder="1" applyAlignment="1">
      <alignment horizontal="right"/>
    </xf>
    <xf numFmtId="206" fontId="10" fillId="0" borderId="0" xfId="64" applyNumberFormat="1" applyFont="1" applyAlignment="1">
      <alignment horizontal="center"/>
      <protection/>
    </xf>
    <xf numFmtId="204" fontId="5" fillId="0" borderId="0" xfId="47" applyNumberFormat="1" applyFont="1" applyFill="1" applyBorder="1" applyAlignment="1">
      <alignment vertical="center"/>
    </xf>
    <xf numFmtId="0" fontId="5" fillId="0" borderId="12" xfId="64" applyFont="1" applyBorder="1" applyAlignment="1">
      <alignment vertical="center"/>
      <protection/>
    </xf>
    <xf numFmtId="204" fontId="11" fillId="0" borderId="12" xfId="47" applyNumberFormat="1" applyFont="1" applyBorder="1" applyAlignment="1">
      <alignment horizontal="right" vertical="center"/>
    </xf>
    <xf numFmtId="205" fontId="11" fillId="0" borderId="12" xfId="47" applyNumberFormat="1" applyFont="1" applyBorder="1" applyAlignment="1">
      <alignment horizontal="right" vertical="center"/>
    </xf>
    <xf numFmtId="0" fontId="11" fillId="0" borderId="36" xfId="64" applyFont="1" applyBorder="1" applyAlignment="1">
      <alignment horizontal="center" vertical="top" wrapText="1"/>
      <protection/>
    </xf>
    <xf numFmtId="43" fontId="11" fillId="0" borderId="36" xfId="64" applyNumberFormat="1" applyFont="1" applyBorder="1" applyAlignment="1">
      <alignment horizontal="center" vertical="top" wrapText="1"/>
      <protection/>
    </xf>
    <xf numFmtId="43" fontId="5" fillId="0" borderId="12" xfId="63" applyNumberFormat="1" applyFont="1" applyBorder="1">
      <alignment/>
      <protection/>
    </xf>
    <xf numFmtId="216" fontId="16" fillId="0" borderId="0" xfId="63" applyNumberFormat="1" applyFont="1" applyBorder="1" applyAlignment="1">
      <alignment horizontal="right"/>
      <protection/>
    </xf>
    <xf numFmtId="203" fontId="5" fillId="0" borderId="0" xfId="46" applyNumberFormat="1" applyFont="1" applyBorder="1" applyAlignment="1">
      <alignment horizontal="right"/>
    </xf>
    <xf numFmtId="205" fontId="5" fillId="0" borderId="0" xfId="46" applyNumberFormat="1" applyFont="1" applyBorder="1" applyAlignment="1">
      <alignment horizontal="right"/>
    </xf>
    <xf numFmtId="203" fontId="5" fillId="0" borderId="13" xfId="63" applyNumberFormat="1" applyFont="1" applyBorder="1" applyAlignment="1">
      <alignment horizontal="right"/>
      <protection/>
    </xf>
    <xf numFmtId="0" fontId="16" fillId="0" borderId="15" xfId="63" applyFont="1" applyBorder="1" applyAlignment="1">
      <alignment horizontal="right"/>
      <protection/>
    </xf>
    <xf numFmtId="205" fontId="16" fillId="0" borderId="15" xfId="63" applyNumberFormat="1" applyFont="1" applyBorder="1" applyAlignment="1">
      <alignment horizontal="right"/>
      <protection/>
    </xf>
    <xf numFmtId="1" fontId="16" fillId="0" borderId="15" xfId="63" applyNumberFormat="1" applyFont="1" applyBorder="1" applyAlignment="1">
      <alignment horizontal="right"/>
      <protection/>
    </xf>
    <xf numFmtId="203" fontId="5" fillId="0" borderId="15" xfId="46" applyNumberFormat="1" applyFont="1" applyBorder="1" applyAlignment="1">
      <alignment horizontal="right"/>
    </xf>
    <xf numFmtId="0" fontId="72" fillId="0" borderId="0" xfId="64" applyFont="1" applyBorder="1">
      <alignment/>
      <protection/>
    </xf>
    <xf numFmtId="0" fontId="72" fillId="0" borderId="0" xfId="64" applyFont="1" applyBorder="1" quotePrefix="1">
      <alignment/>
      <protection/>
    </xf>
    <xf numFmtId="0" fontId="5" fillId="0" borderId="11" xfId="64" applyFont="1" applyBorder="1" applyAlignment="1">
      <alignment horizontal="left" vertical="top" wrapText="1"/>
      <protection/>
    </xf>
    <xf numFmtId="206" fontId="5" fillId="33" borderId="31" xfId="64" applyNumberFormat="1" applyFont="1" applyFill="1" applyBorder="1" applyAlignment="1">
      <alignment horizontal="center" vertical="center"/>
      <protection/>
    </xf>
    <xf numFmtId="0" fontId="5" fillId="0" borderId="0" xfId="63" applyFont="1" applyBorder="1" applyAlignment="1">
      <alignment vertical="top" wrapText="1"/>
      <protection/>
    </xf>
    <xf numFmtId="0" fontId="24" fillId="0" borderId="0" xfId="0" applyFont="1" applyAlignment="1">
      <alignment wrapText="1"/>
    </xf>
    <xf numFmtId="0" fontId="24" fillId="0" borderId="0" xfId="0" applyFont="1" applyAlignment="1">
      <alignment/>
    </xf>
    <xf numFmtId="0" fontId="24" fillId="0" borderId="0" xfId="62" applyFont="1" applyAlignment="1">
      <alignment vertical="top" wrapText="1"/>
      <protection/>
    </xf>
    <xf numFmtId="0" fontId="11" fillId="0" borderId="13" xfId="63" applyFont="1" applyBorder="1" applyAlignment="1">
      <alignment vertical="top"/>
      <protection/>
    </xf>
    <xf numFmtId="0" fontId="11" fillId="0" borderId="13" xfId="63" applyFont="1" applyBorder="1" applyAlignment="1">
      <alignment horizontal="center" vertical="top"/>
      <protection/>
    </xf>
    <xf numFmtId="204" fontId="11" fillId="0" borderId="13" xfId="46" applyNumberFormat="1" applyFont="1" applyBorder="1" applyAlignment="1">
      <alignment horizontal="center" vertical="top"/>
    </xf>
    <xf numFmtId="208" fontId="11" fillId="0" borderId="13" xfId="42" applyNumberFormat="1" applyFont="1" applyBorder="1" applyAlignment="1">
      <alignment horizontal="right" vertical="top"/>
    </xf>
    <xf numFmtId="208" fontId="11" fillId="0" borderId="13" xfId="42" applyNumberFormat="1" applyFont="1" applyBorder="1" applyAlignment="1">
      <alignment vertical="top"/>
    </xf>
    <xf numFmtId="208" fontId="11" fillId="0" borderId="13" xfId="42" applyNumberFormat="1" applyFont="1" applyBorder="1" applyAlignment="1">
      <alignment horizontal="center" vertical="top"/>
    </xf>
    <xf numFmtId="0" fontId="25" fillId="0" borderId="0" xfId="0" applyFont="1" applyAlignment="1">
      <alignment vertical="top"/>
    </xf>
    <xf numFmtId="208" fontId="25" fillId="0" borderId="0" xfId="42" applyNumberFormat="1" applyFont="1" applyAlignment="1">
      <alignment/>
    </xf>
    <xf numFmtId="205" fontId="25" fillId="0" borderId="0" xfId="0" applyNumberFormat="1" applyFont="1" applyAlignment="1">
      <alignment vertical="top"/>
    </xf>
    <xf numFmtId="209" fontId="4" fillId="0" borderId="0" xfId="42" applyNumberFormat="1" applyFont="1" applyBorder="1" applyAlignment="1">
      <alignment horizontal="center"/>
    </xf>
    <xf numFmtId="203" fontId="4" fillId="0" borderId="0" xfId="46" applyNumberFormat="1" applyFont="1" applyBorder="1" applyAlignment="1">
      <alignment horizontal="right"/>
    </xf>
    <xf numFmtId="205" fontId="4" fillId="0" borderId="0" xfId="46" applyNumberFormat="1" applyFont="1" applyBorder="1" applyAlignment="1">
      <alignment horizontal="right"/>
    </xf>
    <xf numFmtId="204" fontId="4" fillId="0" borderId="0" xfId="46" applyNumberFormat="1" applyFont="1" applyBorder="1" applyAlignment="1">
      <alignment horizontal="right"/>
    </xf>
    <xf numFmtId="0" fontId="11" fillId="0" borderId="29" xfId="63" applyFont="1" applyBorder="1" applyAlignment="1">
      <alignment wrapText="1"/>
      <protection/>
    </xf>
    <xf numFmtId="0" fontId="24" fillId="0" borderId="0" xfId="63" applyFont="1" applyBorder="1" applyAlignment="1">
      <alignment vertical="top" wrapText="1"/>
      <protection/>
    </xf>
    <xf numFmtId="209" fontId="5" fillId="0" borderId="29" xfId="42" applyNumberFormat="1" applyFont="1" applyBorder="1" applyAlignment="1">
      <alignment horizontal="right"/>
    </xf>
    <xf numFmtId="208" fontId="5" fillId="0" borderId="29" xfId="42" applyNumberFormat="1" applyFont="1" applyBorder="1" applyAlignment="1">
      <alignment horizontal="center"/>
    </xf>
    <xf numFmtId="208" fontId="5" fillId="0" borderId="29" xfId="42" applyNumberFormat="1" applyFont="1" applyBorder="1" applyAlignment="1">
      <alignment horizontal="center" vertical="center"/>
    </xf>
    <xf numFmtId="0" fontId="4" fillId="0" borderId="29" xfId="63" applyFont="1" applyBorder="1" applyAlignment="1">
      <alignment horizontal="center" vertical="top"/>
      <protection/>
    </xf>
    <xf numFmtId="0" fontId="4" fillId="0" borderId="29" xfId="0" applyFont="1" applyBorder="1" applyAlignment="1">
      <alignment/>
    </xf>
    <xf numFmtId="0" fontId="4" fillId="33" borderId="31" xfId="63" applyFont="1" applyFill="1" applyBorder="1" applyAlignment="1">
      <alignment horizontal="center" vertical="top"/>
      <protection/>
    </xf>
    <xf numFmtId="209" fontId="5" fillId="33" borderId="31" xfId="42" applyNumberFormat="1" applyFont="1" applyFill="1" applyBorder="1" applyAlignment="1">
      <alignment/>
    </xf>
    <xf numFmtId="208" fontId="5" fillId="33" borderId="31" xfId="42" applyNumberFormat="1" applyFont="1" applyFill="1" applyBorder="1" applyAlignment="1">
      <alignment/>
    </xf>
    <xf numFmtId="208" fontId="5" fillId="0" borderId="29" xfId="42" applyNumberFormat="1" applyFont="1" applyBorder="1" applyAlignment="1">
      <alignment horizontal="center" vertical="top"/>
    </xf>
    <xf numFmtId="0" fontId="4" fillId="0" borderId="28" xfId="63" applyFont="1" applyBorder="1" applyAlignment="1">
      <alignment horizontal="center" vertical="top"/>
      <protection/>
    </xf>
    <xf numFmtId="209" fontId="5" fillId="0" borderId="29" xfId="42" applyNumberFormat="1" applyFont="1" applyBorder="1" applyAlignment="1">
      <alignment/>
    </xf>
    <xf numFmtId="209" fontId="24" fillId="0" borderId="29" xfId="42" applyNumberFormat="1" applyFont="1" applyBorder="1" applyAlignment="1">
      <alignment horizontal="right"/>
    </xf>
    <xf numFmtId="0" fontId="24" fillId="0" borderId="29" xfId="63" applyFont="1" applyBorder="1" applyAlignment="1">
      <alignment horizontal="center" vertical="top" wrapText="1"/>
      <protection/>
    </xf>
    <xf numFmtId="0" fontId="24" fillId="0" borderId="29" xfId="63" applyFont="1" applyBorder="1" applyAlignment="1">
      <alignment horizontal="left" vertical="top" wrapText="1"/>
      <protection/>
    </xf>
    <xf numFmtId="208" fontId="11" fillId="0" borderId="29" xfId="42" applyNumberFormat="1" applyFont="1" applyBorder="1" applyAlignment="1">
      <alignment horizontal="right" vertical="top" wrapText="1"/>
    </xf>
    <xf numFmtId="0" fontId="24" fillId="0" borderId="29" xfId="0" applyFont="1" applyBorder="1" applyAlignment="1">
      <alignment/>
    </xf>
    <xf numFmtId="0" fontId="24" fillId="0" borderId="29" xfId="0" applyFont="1" applyBorder="1" applyAlignment="1" quotePrefix="1">
      <alignment horizontal="left"/>
    </xf>
    <xf numFmtId="0" fontId="5" fillId="33" borderId="28" xfId="63" applyFont="1" applyFill="1" applyBorder="1">
      <alignment/>
      <protection/>
    </xf>
    <xf numFmtId="209" fontId="5" fillId="33" borderId="28" xfId="42" applyNumberFormat="1" applyFont="1" applyFill="1" applyBorder="1" applyAlignment="1">
      <alignment horizontal="right"/>
    </xf>
    <xf numFmtId="208" fontId="5" fillId="33" borderId="28" xfId="42" applyNumberFormat="1" applyFont="1" applyFill="1" applyBorder="1" applyAlignment="1">
      <alignment horizontal="right"/>
    </xf>
    <xf numFmtId="0" fontId="24" fillId="0" borderId="29" xfId="63" applyFont="1" applyBorder="1" applyAlignment="1">
      <alignment horizontal="center" vertical="top"/>
      <protection/>
    </xf>
    <xf numFmtId="0" fontId="24" fillId="0" borderId="37" xfId="0" applyFont="1" applyBorder="1" applyAlignment="1">
      <alignment vertical="top" wrapText="1"/>
    </xf>
    <xf numFmtId="0" fontId="5" fillId="0" borderId="28" xfId="63" applyFont="1" applyBorder="1" applyAlignment="1">
      <alignment vertical="top" wrapText="1"/>
      <protection/>
    </xf>
    <xf numFmtId="0" fontId="4" fillId="33" borderId="28" xfId="63" applyFont="1" applyFill="1" applyBorder="1" applyAlignment="1">
      <alignment horizontal="center" vertical="top"/>
      <protection/>
    </xf>
    <xf numFmtId="208" fontId="5" fillId="33" borderId="28" xfId="42" applyNumberFormat="1" applyFont="1" applyFill="1" applyBorder="1" applyAlignment="1">
      <alignment/>
    </xf>
    <xf numFmtId="0" fontId="5" fillId="0" borderId="28" xfId="63" applyFont="1" applyBorder="1" applyAlignment="1">
      <alignment horizontal="center" vertical="top"/>
      <protection/>
    </xf>
    <xf numFmtId="209" fontId="5" fillId="0" borderId="28" xfId="42" applyNumberFormat="1" applyFont="1" applyFill="1" applyBorder="1" applyAlignment="1">
      <alignment horizontal="right"/>
    </xf>
    <xf numFmtId="209" fontId="5" fillId="0" borderId="28" xfId="42" applyNumberFormat="1" applyFont="1" applyFill="1" applyBorder="1" applyAlignment="1">
      <alignment/>
    </xf>
    <xf numFmtId="0" fontId="5" fillId="0" borderId="29" xfId="0" applyFont="1" applyBorder="1" applyAlignment="1">
      <alignment/>
    </xf>
    <xf numFmtId="0" fontId="5" fillId="0" borderId="28" xfId="63" applyFont="1" applyBorder="1" applyAlignment="1">
      <alignment horizontal="left"/>
      <protection/>
    </xf>
    <xf numFmtId="209" fontId="4" fillId="0" borderId="28" xfId="42" applyNumberFormat="1" applyFont="1" applyBorder="1" applyAlignment="1">
      <alignment horizontal="right"/>
    </xf>
    <xf numFmtId="208" fontId="4" fillId="0" borderId="28" xfId="42" applyNumberFormat="1" applyFont="1" applyBorder="1" applyAlignment="1">
      <alignment horizontal="right"/>
    </xf>
    <xf numFmtId="209" fontId="4" fillId="0" borderId="28" xfId="42" applyNumberFormat="1" applyFont="1" applyBorder="1" applyAlignment="1">
      <alignment/>
    </xf>
    <xf numFmtId="0" fontId="19" fillId="0" borderId="0" xfId="64" applyFont="1" applyBorder="1" applyAlignment="1">
      <alignment horizontal="left"/>
      <protection/>
    </xf>
    <xf numFmtId="0" fontId="24" fillId="0" borderId="0" xfId="0" applyFont="1" applyAlignment="1">
      <alignment/>
    </xf>
    <xf numFmtId="204" fontId="5" fillId="33" borderId="34" xfId="42" applyNumberFormat="1" applyFont="1" applyFill="1" applyBorder="1" applyAlignment="1">
      <alignment horizontal="right" vertical="center"/>
    </xf>
    <xf numFmtId="204" fontId="11" fillId="0" borderId="37" xfId="64" applyNumberFormat="1" applyFont="1" applyBorder="1" applyAlignment="1">
      <alignment horizontal="center" vertical="top" wrapText="1"/>
      <protection/>
    </xf>
    <xf numFmtId="203" fontId="5" fillId="33" borderId="31" xfId="64" applyNumberFormat="1" applyFont="1" applyFill="1" applyBorder="1" applyAlignment="1">
      <alignment vertical="center"/>
      <protection/>
    </xf>
    <xf numFmtId="204" fontId="5" fillId="33" borderId="31" xfId="64" applyNumberFormat="1" applyFont="1" applyFill="1" applyBorder="1" applyAlignment="1">
      <alignment vertical="center"/>
      <protection/>
    </xf>
    <xf numFmtId="204" fontId="4" fillId="0" borderId="0" xfId="46" applyNumberFormat="1" applyFont="1" applyBorder="1" applyAlignment="1">
      <alignment/>
    </xf>
    <xf numFmtId="205" fontId="4" fillId="0" borderId="0" xfId="46" applyNumberFormat="1" applyFont="1" applyBorder="1" applyAlignment="1">
      <alignment/>
    </xf>
    <xf numFmtId="204" fontId="4" fillId="0" borderId="0" xfId="46" applyNumberFormat="1" applyFont="1" applyBorder="1" applyAlignment="1">
      <alignment horizontal="center"/>
    </xf>
    <xf numFmtId="208" fontId="4" fillId="0" borderId="0" xfId="42" applyNumberFormat="1" applyFont="1" applyBorder="1" applyAlignment="1">
      <alignment/>
    </xf>
    <xf numFmtId="204" fontId="5" fillId="0" borderId="0" xfId="46" applyNumberFormat="1" applyFont="1" applyBorder="1" applyAlignment="1">
      <alignment horizontal="right"/>
    </xf>
    <xf numFmtId="208" fontId="4" fillId="0" borderId="0" xfId="42" applyNumberFormat="1" applyFont="1" applyBorder="1" applyAlignment="1">
      <alignment horizontal="right"/>
    </xf>
    <xf numFmtId="216" fontId="4" fillId="0" borderId="0" xfId="63" applyNumberFormat="1" applyFont="1" applyBorder="1" applyAlignment="1">
      <alignment horizontal="right"/>
      <protection/>
    </xf>
    <xf numFmtId="205" fontId="4" fillId="0" borderId="0" xfId="63" applyNumberFormat="1" applyFont="1" applyBorder="1" applyAlignment="1">
      <alignment horizontal="right"/>
      <protection/>
    </xf>
    <xf numFmtId="192" fontId="4" fillId="0" borderId="0" xfId="63" applyNumberFormat="1" applyFont="1" applyBorder="1" applyAlignment="1">
      <alignment horizontal="right"/>
      <protection/>
    </xf>
    <xf numFmtId="0" fontId="4" fillId="0" borderId="0" xfId="63" applyFont="1" applyBorder="1" applyAlignment="1">
      <alignment horizontal="right"/>
      <protection/>
    </xf>
    <xf numFmtId="203" fontId="5" fillId="0" borderId="12" xfId="63" applyNumberFormat="1" applyFont="1" applyBorder="1">
      <alignment/>
      <protection/>
    </xf>
    <xf numFmtId="204" fontId="5" fillId="0" borderId="12" xfId="63" applyNumberFormat="1" applyFont="1" applyBorder="1">
      <alignment/>
      <protection/>
    </xf>
    <xf numFmtId="0" fontId="4" fillId="0" borderId="15" xfId="63" applyFont="1" applyBorder="1" applyAlignment="1">
      <alignment horizontal="right"/>
      <protection/>
    </xf>
    <xf numFmtId="205" fontId="4" fillId="0" borderId="15" xfId="63" applyNumberFormat="1" applyFont="1" applyBorder="1" applyAlignment="1">
      <alignment horizontal="right"/>
      <protection/>
    </xf>
    <xf numFmtId="204" fontId="5" fillId="0" borderId="15" xfId="46" applyNumberFormat="1" applyFont="1" applyBorder="1" applyAlignment="1">
      <alignment horizontal="right"/>
    </xf>
    <xf numFmtId="1" fontId="5" fillId="0" borderId="11" xfId="46" applyNumberFormat="1" applyFont="1" applyBorder="1" applyAlignment="1">
      <alignment horizontal="right"/>
    </xf>
    <xf numFmtId="205" fontId="5" fillId="0" borderId="11" xfId="46" applyNumberFormat="1" applyFont="1" applyBorder="1" applyAlignment="1">
      <alignment horizontal="right"/>
    </xf>
    <xf numFmtId="204" fontId="7" fillId="0" borderId="17" xfId="63" applyNumberFormat="1" applyFont="1" applyBorder="1">
      <alignment/>
      <protection/>
    </xf>
    <xf numFmtId="203" fontId="5" fillId="0" borderId="34" xfId="47" applyNumberFormat="1" applyFont="1" applyBorder="1" applyAlignment="1">
      <alignment vertical="top"/>
    </xf>
    <xf numFmtId="3" fontId="5" fillId="33" borderId="31" xfId="64" applyNumberFormat="1" applyFont="1" applyFill="1" applyBorder="1" applyAlignment="1">
      <alignment horizontal="center" vertical="center"/>
      <protection/>
    </xf>
    <xf numFmtId="1" fontId="7" fillId="0" borderId="17" xfId="71" applyNumberFormat="1" applyFont="1" applyBorder="1" applyAlignment="1">
      <alignment horizontal="right"/>
      <protection/>
    </xf>
    <xf numFmtId="1" fontId="7" fillId="0" borderId="0" xfId="71" applyNumberFormat="1" applyFont="1" applyBorder="1" applyAlignment="1">
      <alignment horizontal="right"/>
      <protection/>
    </xf>
    <xf numFmtId="0" fontId="5" fillId="35" borderId="0" xfId="63" applyFont="1" applyFill="1" applyBorder="1">
      <alignment/>
      <protection/>
    </xf>
    <xf numFmtId="43" fontId="0" fillId="0" borderId="0" xfId="0" applyNumberFormat="1" applyAlignment="1">
      <alignment/>
    </xf>
    <xf numFmtId="203" fontId="4" fillId="0" borderId="0" xfId="64" applyNumberFormat="1" applyFont="1">
      <alignment/>
      <protection/>
    </xf>
    <xf numFmtId="208" fontId="4" fillId="0" borderId="15" xfId="42" applyNumberFormat="1" applyFont="1" applyBorder="1" applyAlignment="1">
      <alignment horizontal="right"/>
    </xf>
    <xf numFmtId="0" fontId="4" fillId="0" borderId="11" xfId="63" applyFont="1" applyBorder="1" applyAlignment="1">
      <alignment horizontal="right"/>
      <protection/>
    </xf>
    <xf numFmtId="208" fontId="4" fillId="0" borderId="11" xfId="42" applyNumberFormat="1" applyFont="1" applyBorder="1" applyAlignment="1">
      <alignment horizontal="right"/>
    </xf>
    <xf numFmtId="0" fontId="24" fillId="0" borderId="0" xfId="63" applyFont="1" applyBorder="1">
      <alignment/>
      <protection/>
    </xf>
    <xf numFmtId="209" fontId="5" fillId="0" borderId="0" xfId="42" applyNumberFormat="1" applyFont="1" applyBorder="1" applyAlignment="1">
      <alignment/>
    </xf>
    <xf numFmtId="209" fontId="5" fillId="0" borderId="0" xfId="46" applyNumberFormat="1" applyFont="1" applyBorder="1" applyAlignment="1">
      <alignment horizontal="center"/>
    </xf>
    <xf numFmtId="209" fontId="5" fillId="0" borderId="11" xfId="42" applyNumberFormat="1" applyFont="1" applyBorder="1" applyAlignment="1">
      <alignment/>
    </xf>
    <xf numFmtId="208" fontId="5" fillId="0" borderId="11" xfId="42" applyNumberFormat="1" applyFont="1" applyBorder="1" applyAlignment="1">
      <alignment/>
    </xf>
    <xf numFmtId="204" fontId="5" fillId="37" borderId="0" xfId="46" applyNumberFormat="1" applyFont="1" applyFill="1" applyBorder="1" applyAlignment="1">
      <alignment/>
    </xf>
    <xf numFmtId="205" fontId="5" fillId="37" borderId="0" xfId="46" applyNumberFormat="1" applyFont="1" applyFill="1" applyBorder="1" applyAlignment="1">
      <alignment horizontal="right"/>
    </xf>
    <xf numFmtId="203" fontId="5" fillId="37" borderId="0" xfId="46" applyNumberFormat="1" applyFont="1" applyFill="1" applyBorder="1" applyAlignment="1">
      <alignment/>
    </xf>
    <xf numFmtId="204" fontId="5" fillId="37" borderId="11" xfId="46" applyNumberFormat="1" applyFont="1" applyFill="1" applyBorder="1" applyAlignment="1">
      <alignment/>
    </xf>
    <xf numFmtId="203" fontId="5" fillId="37" borderId="11" xfId="46" applyNumberFormat="1" applyFont="1" applyFill="1" applyBorder="1" applyAlignment="1">
      <alignment/>
    </xf>
    <xf numFmtId="0" fontId="24" fillId="0" borderId="0" xfId="63" applyFont="1" applyBorder="1" applyAlignment="1">
      <alignment vertical="top"/>
      <protection/>
    </xf>
    <xf numFmtId="0" fontId="4" fillId="0" borderId="29" xfId="63" applyFont="1" applyBorder="1" applyAlignment="1">
      <alignment vertical="top"/>
      <protection/>
    </xf>
    <xf numFmtId="0" fontId="4" fillId="33" borderId="31" xfId="63" applyFont="1" applyFill="1" applyBorder="1" applyAlignment="1">
      <alignment vertical="top"/>
      <protection/>
    </xf>
    <xf numFmtId="0" fontId="4" fillId="0" borderId="28" xfId="63" applyFont="1" applyBorder="1" applyAlignment="1">
      <alignment vertical="top"/>
      <protection/>
    </xf>
    <xf numFmtId="0" fontId="4" fillId="0" borderId="28" xfId="63" applyFont="1" applyBorder="1" applyAlignment="1">
      <alignment vertical="top"/>
      <protection/>
    </xf>
    <xf numFmtId="0" fontId="24" fillId="0" borderId="29" xfId="63" applyFont="1" applyBorder="1" applyAlignment="1">
      <alignment vertical="top"/>
      <protection/>
    </xf>
    <xf numFmtId="0" fontId="4" fillId="33" borderId="28" xfId="63" applyFont="1" applyFill="1" applyBorder="1" applyAlignment="1">
      <alignment vertical="top"/>
      <protection/>
    </xf>
    <xf numFmtId="0" fontId="4" fillId="0" borderId="29" xfId="63" applyFont="1" applyBorder="1" applyAlignment="1">
      <alignment vertical="top" wrapText="1"/>
      <protection/>
    </xf>
    <xf numFmtId="0" fontId="4" fillId="33" borderId="31" xfId="63" applyFont="1" applyFill="1" applyBorder="1" applyAlignment="1">
      <alignment vertical="top"/>
      <protection/>
    </xf>
    <xf numFmtId="0" fontId="5" fillId="0" borderId="28" xfId="63" applyFont="1" applyBorder="1" applyAlignment="1">
      <alignment vertical="top"/>
      <protection/>
    </xf>
    <xf numFmtId="0" fontId="4" fillId="0" borderId="29" xfId="63" applyFont="1" applyBorder="1" applyAlignment="1">
      <alignment vertical="top"/>
      <protection/>
    </xf>
    <xf numFmtId="0" fontId="73" fillId="0" borderId="29" xfId="63" applyFont="1" applyBorder="1" applyAlignment="1">
      <alignment vertical="top"/>
      <protection/>
    </xf>
    <xf numFmtId="0" fontId="4" fillId="0" borderId="19" xfId="0" applyFont="1" applyBorder="1" applyAlignment="1">
      <alignment/>
    </xf>
    <xf numFmtId="0" fontId="24" fillId="0" borderId="19" xfId="0" applyFont="1" applyBorder="1" applyAlignment="1">
      <alignment vertical="top"/>
    </xf>
    <xf numFmtId="0" fontId="0" fillId="0" borderId="37" xfId="0" applyFont="1" applyBorder="1" applyAlignment="1" quotePrefix="1">
      <alignment vertical="top" wrapText="1"/>
    </xf>
    <xf numFmtId="0" fontId="24" fillId="0" borderId="37" xfId="0" applyFont="1" applyBorder="1" applyAlignment="1">
      <alignment vertical="top" wrapText="1"/>
    </xf>
    <xf numFmtId="0" fontId="11" fillId="0" borderId="37" xfId="63" applyFont="1" applyBorder="1" applyAlignment="1">
      <alignment wrapText="1"/>
      <protection/>
    </xf>
    <xf numFmtId="0" fontId="24" fillId="0" borderId="37" xfId="63" applyFont="1" applyBorder="1" applyAlignment="1">
      <alignment vertical="top" wrapText="1"/>
      <protection/>
    </xf>
    <xf numFmtId="0" fontId="24" fillId="0" borderId="37" xfId="63" applyFont="1" applyFill="1" applyBorder="1" applyAlignment="1">
      <alignment vertical="top" wrapText="1"/>
      <protection/>
    </xf>
    <xf numFmtId="0" fontId="24" fillId="0" borderId="28" xfId="63" applyFont="1" applyBorder="1" applyAlignment="1">
      <alignment vertical="top"/>
      <protection/>
    </xf>
    <xf numFmtId="0" fontId="11" fillId="0" borderId="37" xfId="63" applyFont="1" applyBorder="1" applyAlignment="1">
      <alignment vertical="top" wrapText="1"/>
      <protection/>
    </xf>
    <xf numFmtId="0" fontId="24" fillId="0" borderId="37" xfId="63" applyFont="1" applyFill="1" applyBorder="1" applyAlignment="1" quotePrefix="1">
      <alignment horizontal="left" vertical="top" wrapText="1"/>
      <protection/>
    </xf>
    <xf numFmtId="0" fontId="11" fillId="0" borderId="37" xfId="63" applyFont="1" applyBorder="1">
      <alignment/>
      <protection/>
    </xf>
    <xf numFmtId="0" fontId="24" fillId="0" borderId="37" xfId="63" applyFont="1" applyBorder="1" applyAlignment="1">
      <alignment vertical="top"/>
      <protection/>
    </xf>
    <xf numFmtId="0" fontId="24" fillId="0" borderId="37" xfId="63" applyFont="1" applyBorder="1" applyAlignment="1">
      <alignment horizontal="left"/>
      <protection/>
    </xf>
    <xf numFmtId="0" fontId="5" fillId="0" borderId="29" xfId="63" applyFont="1" applyBorder="1" applyAlignment="1">
      <alignment vertical="top"/>
      <protection/>
    </xf>
    <xf numFmtId="0" fontId="11" fillId="0" borderId="37" xfId="63" applyFont="1" applyBorder="1" applyAlignment="1">
      <alignment vertical="top"/>
      <protection/>
    </xf>
    <xf numFmtId="0" fontId="24" fillId="0" borderId="37" xfId="63" applyFont="1" applyBorder="1" applyAlignment="1">
      <alignment vertical="top"/>
      <protection/>
    </xf>
    <xf numFmtId="0" fontId="24" fillId="0" borderId="37" xfId="63" applyFont="1" applyBorder="1" applyAlignment="1">
      <alignment vertical="top" wrapText="1"/>
      <protection/>
    </xf>
    <xf numFmtId="0" fontId="4" fillId="0" borderId="37" xfId="63" applyFont="1" applyBorder="1" applyAlignment="1">
      <alignment vertical="top"/>
      <protection/>
    </xf>
    <xf numFmtId="0" fontId="5" fillId="0" borderId="35" xfId="63" applyFont="1" applyBorder="1">
      <alignment/>
      <protection/>
    </xf>
    <xf numFmtId="0" fontId="4" fillId="0" borderId="35" xfId="63" applyFont="1" applyBorder="1" applyAlignment="1">
      <alignment vertical="top"/>
      <protection/>
    </xf>
    <xf numFmtId="0" fontId="11" fillId="0" borderId="37" xfId="63" applyFont="1" applyBorder="1" applyAlignment="1" quotePrefix="1">
      <alignment vertical="top" wrapText="1"/>
      <protection/>
    </xf>
    <xf numFmtId="0" fontId="5" fillId="0" borderId="29" xfId="63" applyFont="1" applyBorder="1" applyAlignment="1">
      <alignment vertical="top" wrapText="1"/>
      <protection/>
    </xf>
    <xf numFmtId="0" fontId="72" fillId="0" borderId="11" xfId="64" applyFont="1" applyBorder="1">
      <alignment/>
      <protection/>
    </xf>
    <xf numFmtId="0" fontId="0" fillId="0" borderId="0" xfId="0" applyFont="1" applyAlignment="1">
      <alignment/>
    </xf>
    <xf numFmtId="0" fontId="0" fillId="0" borderId="0" xfId="0" applyFont="1" applyAlignment="1">
      <alignment vertical="top"/>
    </xf>
    <xf numFmtId="0" fontId="4" fillId="0" borderId="29" xfId="64" applyBorder="1" applyAlignment="1">
      <alignment horizontal="center" vertical="top" wrapText="1"/>
      <protection/>
    </xf>
    <xf numFmtId="3" fontId="11" fillId="0" borderId="29" xfId="64" applyNumberFormat="1" applyFont="1" applyBorder="1" applyAlignment="1">
      <alignment vertical="top"/>
      <protection/>
    </xf>
    <xf numFmtId="0" fontId="24" fillId="0" borderId="28" xfId="64" applyFont="1" applyBorder="1" applyAlignment="1">
      <alignment horizontal="left" vertical="top" wrapText="1"/>
      <protection/>
    </xf>
    <xf numFmtId="0" fontId="24" fillId="0" borderId="28" xfId="0" applyFont="1" applyBorder="1" applyAlignment="1">
      <alignment vertical="top" wrapText="1"/>
    </xf>
    <xf numFmtId="0" fontId="11" fillId="0" borderId="10" xfId="64" applyFont="1" applyBorder="1" applyAlignment="1">
      <alignment vertical="top" wrapText="1"/>
      <protection/>
    </xf>
    <xf numFmtId="205" fontId="24" fillId="0" borderId="28" xfId="64" applyNumberFormat="1" applyFont="1" applyBorder="1" applyAlignment="1">
      <alignment vertical="top" wrapText="1"/>
      <protection/>
    </xf>
    <xf numFmtId="205" fontId="11" fillId="0" borderId="28" xfId="64" applyNumberFormat="1" applyFont="1" applyBorder="1" applyAlignment="1">
      <alignment vertical="top" wrapText="1"/>
      <protection/>
    </xf>
    <xf numFmtId="205" fontId="24" fillId="0" borderId="29" xfId="64" applyNumberFormat="1" applyFont="1" applyBorder="1" applyAlignment="1">
      <alignment vertical="top" wrapText="1"/>
      <protection/>
    </xf>
    <xf numFmtId="0" fontId="11" fillId="0" borderId="29" xfId="64" applyFont="1" applyFill="1" applyBorder="1" applyAlignment="1">
      <alignment horizontal="left" vertical="top" wrapText="1"/>
      <protection/>
    </xf>
    <xf numFmtId="0" fontId="24" fillId="0" borderId="29" xfId="64" applyFont="1" applyBorder="1" applyAlignment="1">
      <alignment horizontal="left" vertical="top"/>
      <protection/>
    </xf>
    <xf numFmtId="206" fontId="24" fillId="0" borderId="29" xfId="48" applyNumberFormat="1" applyFont="1" applyBorder="1" applyAlignment="1">
      <alignment vertical="top"/>
    </xf>
    <xf numFmtId="0" fontId="24" fillId="0" borderId="29" xfId="64" applyFont="1" applyBorder="1" applyAlignment="1">
      <alignment horizontal="left" vertical="top" wrapText="1"/>
      <protection/>
    </xf>
    <xf numFmtId="0" fontId="24" fillId="0" borderId="29" xfId="64" applyFont="1" applyBorder="1" applyAlignment="1">
      <alignment vertical="top" wrapText="1"/>
      <protection/>
    </xf>
    <xf numFmtId="206" fontId="24" fillId="0" borderId="29" xfId="48" applyNumberFormat="1" applyFont="1" applyBorder="1" applyAlignment="1">
      <alignment vertical="top" wrapText="1"/>
    </xf>
    <xf numFmtId="0" fontId="11" fillId="0" borderId="29" xfId="64" applyFont="1" applyFill="1" applyBorder="1" applyAlignment="1" quotePrefix="1">
      <alignment vertical="top" wrapText="1"/>
      <protection/>
    </xf>
    <xf numFmtId="0" fontId="31" fillId="0" borderId="29" xfId="64" applyFont="1" applyFill="1" applyBorder="1" applyAlignment="1">
      <alignment horizontal="left" vertical="top" wrapText="1"/>
      <protection/>
    </xf>
    <xf numFmtId="0" fontId="24" fillId="33" borderId="28" xfId="64" applyFont="1" applyFill="1" applyBorder="1" applyAlignment="1">
      <alignment horizontal="left" vertical="center" wrapText="1"/>
      <protection/>
    </xf>
    <xf numFmtId="0" fontId="5" fillId="33" borderId="28" xfId="64" applyFont="1" applyFill="1" applyBorder="1" applyAlignment="1">
      <alignment horizontal="center" vertical="center"/>
      <protection/>
    </xf>
    <xf numFmtId="0" fontId="11" fillId="33" borderId="28" xfId="64" applyFont="1" applyFill="1" applyBorder="1" applyAlignment="1">
      <alignment horizontal="center" vertical="center"/>
      <protection/>
    </xf>
    <xf numFmtId="209" fontId="5" fillId="33" borderId="28" xfId="64" applyNumberFormat="1" applyFont="1" applyFill="1" applyBorder="1" applyAlignment="1">
      <alignment horizontal="center" vertical="center"/>
      <protection/>
    </xf>
    <xf numFmtId="208" fontId="5" fillId="33" borderId="28" xfId="64" applyNumberFormat="1" applyFont="1" applyFill="1" applyBorder="1" applyAlignment="1">
      <alignment horizontal="center" vertical="center"/>
      <protection/>
    </xf>
    <xf numFmtId="0" fontId="11" fillId="0" borderId="0" xfId="64" applyFont="1" applyBorder="1" applyAlignment="1">
      <alignment vertical="top" wrapText="1"/>
      <protection/>
    </xf>
    <xf numFmtId="206" fontId="5" fillId="33" borderId="16" xfId="64" applyNumberFormat="1" applyFont="1" applyFill="1" applyBorder="1" applyAlignment="1">
      <alignment horizontal="center" vertical="center"/>
      <protection/>
    </xf>
    <xf numFmtId="0" fontId="5" fillId="0" borderId="16" xfId="64" applyFont="1" applyBorder="1" applyAlignment="1">
      <alignment horizontal="left" vertical="top" wrapText="1"/>
      <protection/>
    </xf>
    <xf numFmtId="204" fontId="24" fillId="0" borderId="0" xfId="47" applyNumberFormat="1" applyFont="1" applyBorder="1" applyAlignment="1">
      <alignment vertical="center"/>
    </xf>
    <xf numFmtId="205" fontId="24" fillId="0" borderId="0" xfId="47" applyNumberFormat="1" applyFont="1" applyBorder="1" applyAlignment="1">
      <alignment vertical="center"/>
    </xf>
    <xf numFmtId="204" fontId="24" fillId="0" borderId="0" xfId="47" applyNumberFormat="1" applyFont="1" applyBorder="1" applyAlignment="1">
      <alignment horizontal="right" vertical="center"/>
    </xf>
    <xf numFmtId="205" fontId="24" fillId="0" borderId="0" xfId="47" applyNumberFormat="1" applyFont="1" applyBorder="1" applyAlignment="1">
      <alignment horizontal="right" vertical="center"/>
    </xf>
    <xf numFmtId="0" fontId="24" fillId="0" borderId="0" xfId="64" applyFont="1" applyBorder="1" applyAlignment="1">
      <alignment vertical="center"/>
      <protection/>
    </xf>
    <xf numFmtId="0" fontId="24" fillId="0" borderId="0" xfId="0" applyFont="1" applyBorder="1" applyAlignment="1">
      <alignment/>
    </xf>
    <xf numFmtId="205" fontId="24" fillId="0" borderId="0" xfId="0" applyNumberFormat="1" applyFont="1" applyBorder="1" applyAlignment="1">
      <alignment/>
    </xf>
    <xf numFmtId="203" fontId="24" fillId="0" borderId="0" xfId="0" applyNumberFormat="1" applyFont="1" applyBorder="1" applyAlignment="1">
      <alignment/>
    </xf>
    <xf numFmtId="203" fontId="24" fillId="0" borderId="0" xfId="63" applyNumberFormat="1" applyFont="1" applyBorder="1">
      <alignment/>
      <protection/>
    </xf>
    <xf numFmtId="0" fontId="5" fillId="37" borderId="0" xfId="64" applyFont="1" applyFill="1" applyBorder="1">
      <alignment/>
      <protection/>
    </xf>
    <xf numFmtId="0" fontId="5" fillId="37" borderId="0" xfId="64" applyFont="1" applyFill="1" applyBorder="1" applyAlignment="1">
      <alignment vertical="center"/>
      <protection/>
    </xf>
    <xf numFmtId="0" fontId="5" fillId="37" borderId="13" xfId="64" applyFont="1" applyFill="1" applyBorder="1" applyAlignment="1">
      <alignment horizontal="center"/>
      <protection/>
    </xf>
    <xf numFmtId="203" fontId="4" fillId="0" borderId="13" xfId="63" applyNumberFormat="1" applyFont="1" applyBorder="1">
      <alignment/>
      <protection/>
    </xf>
    <xf numFmtId="204" fontId="5" fillId="0" borderId="13" xfId="64" applyNumberFormat="1" applyFont="1" applyBorder="1" applyAlignment="1">
      <alignment vertical="center"/>
      <protection/>
    </xf>
    <xf numFmtId="203" fontId="5" fillId="0" borderId="13" xfId="64" applyNumberFormat="1" applyFont="1" applyBorder="1" applyAlignment="1">
      <alignment vertical="center"/>
      <protection/>
    </xf>
    <xf numFmtId="204" fontId="4" fillId="0" borderId="13" xfId="63" applyNumberFormat="1" applyFont="1" applyBorder="1">
      <alignment/>
      <protection/>
    </xf>
    <xf numFmtId="204" fontId="24" fillId="0" borderId="11" xfId="47" applyNumberFormat="1" applyFont="1" applyBorder="1" applyAlignment="1">
      <alignment vertical="center"/>
    </xf>
    <xf numFmtId="205" fontId="24" fillId="0" borderId="11" xfId="47" applyNumberFormat="1" applyFont="1" applyBorder="1" applyAlignment="1">
      <alignment vertical="center"/>
    </xf>
    <xf numFmtId="204" fontId="24" fillId="0" borderId="11" xfId="47" applyNumberFormat="1" applyFont="1" applyBorder="1" applyAlignment="1">
      <alignment horizontal="right" vertical="center"/>
    </xf>
    <xf numFmtId="205" fontId="24" fillId="0" borderId="11" xfId="47" applyNumberFormat="1" applyFont="1" applyBorder="1" applyAlignment="1">
      <alignment horizontal="right" vertical="center"/>
    </xf>
    <xf numFmtId="0" fontId="24" fillId="0" borderId="11" xfId="0" applyFont="1" applyBorder="1" applyAlignment="1">
      <alignment/>
    </xf>
    <xf numFmtId="203" fontId="24" fillId="0" borderId="11" xfId="0" applyNumberFormat="1" applyFont="1" applyBorder="1" applyAlignment="1">
      <alignment/>
    </xf>
    <xf numFmtId="203" fontId="24" fillId="0" borderId="11" xfId="63" applyNumberFormat="1" applyFont="1" applyBorder="1">
      <alignment/>
      <protection/>
    </xf>
    <xf numFmtId="3" fontId="4" fillId="0" borderId="0" xfId="63" applyNumberFormat="1" applyFont="1" applyBorder="1" applyAlignment="1">
      <alignment horizontal="center"/>
      <protection/>
    </xf>
    <xf numFmtId="208" fontId="74" fillId="0" borderId="29" xfId="42" applyNumberFormat="1" applyFont="1" applyBorder="1" applyAlignment="1">
      <alignment horizontal="right" vertical="top"/>
    </xf>
    <xf numFmtId="205" fontId="24" fillId="0" borderId="29" xfId="0" applyNumberFormat="1" applyFont="1" applyBorder="1" applyAlignment="1">
      <alignment/>
    </xf>
    <xf numFmtId="1" fontId="11" fillId="0" borderId="0" xfId="47" applyNumberFormat="1" applyFont="1" applyBorder="1" applyAlignment="1">
      <alignment horizontal="right" vertical="center"/>
    </xf>
    <xf numFmtId="1" fontId="11" fillId="0" borderId="11" xfId="47" applyNumberFormat="1" applyFont="1" applyBorder="1" applyAlignment="1">
      <alignment horizontal="right" vertical="center"/>
    </xf>
    <xf numFmtId="1" fontId="11" fillId="0" borderId="12" xfId="47" applyNumberFormat="1" applyFont="1" applyBorder="1" applyAlignment="1">
      <alignment horizontal="right" vertical="center"/>
    </xf>
    <xf numFmtId="209" fontId="24" fillId="0" borderId="29" xfId="42" applyNumberFormat="1" applyFont="1" applyBorder="1" applyAlignment="1">
      <alignment horizontal="center"/>
    </xf>
    <xf numFmtId="208" fontId="24" fillId="0" borderId="29" xfId="42" applyNumberFormat="1" applyFont="1" applyBorder="1" applyAlignment="1">
      <alignment horizontal="center"/>
    </xf>
    <xf numFmtId="209" fontId="4" fillId="0" borderId="29" xfId="42" applyNumberFormat="1" applyFont="1" applyBorder="1" applyAlignment="1">
      <alignment horizontal="right"/>
    </xf>
    <xf numFmtId="209" fontId="4" fillId="0" borderId="29" xfId="42" applyNumberFormat="1" applyFont="1" applyBorder="1" applyAlignment="1">
      <alignment/>
    </xf>
    <xf numFmtId="0" fontId="11" fillId="0" borderId="29" xfId="63" applyFont="1" applyFill="1" applyBorder="1" applyAlignment="1" quotePrefix="1">
      <alignment horizontal="left" vertical="top" wrapText="1"/>
      <protection/>
    </xf>
    <xf numFmtId="205" fontId="24" fillId="0" borderId="29" xfId="63" applyNumberFormat="1" applyFont="1" applyBorder="1" applyAlignment="1">
      <alignment horizontal="center" vertical="top" wrapText="1"/>
      <protection/>
    </xf>
    <xf numFmtId="192" fontId="11" fillId="0" borderId="31" xfId="64" applyNumberFormat="1" applyFont="1" applyBorder="1" applyAlignment="1">
      <alignment vertical="top"/>
      <protection/>
    </xf>
    <xf numFmtId="206" fontId="11" fillId="0" borderId="31" xfId="64" applyNumberFormat="1" applyFont="1" applyBorder="1" applyAlignment="1">
      <alignment vertical="top"/>
      <protection/>
    </xf>
    <xf numFmtId="209" fontId="24" fillId="38" borderId="31" xfId="42" applyNumberFormat="1" applyFont="1" applyFill="1" applyBorder="1" applyAlignment="1">
      <alignment horizontal="right" vertical="top" wrapText="1"/>
    </xf>
    <xf numFmtId="209" fontId="75" fillId="33" borderId="31" xfId="42" applyNumberFormat="1" applyFont="1" applyFill="1" applyBorder="1" applyAlignment="1">
      <alignment horizontal="right"/>
    </xf>
    <xf numFmtId="208" fontId="75" fillId="33" borderId="31" xfId="42" applyNumberFormat="1" applyFont="1" applyFill="1" applyBorder="1" applyAlignment="1">
      <alignment horizontal="right"/>
    </xf>
    <xf numFmtId="209" fontId="75" fillId="0" borderId="29" xfId="42" applyNumberFormat="1" applyFont="1" applyBorder="1" applyAlignment="1">
      <alignment horizontal="right"/>
    </xf>
    <xf numFmtId="208" fontId="75" fillId="0" borderId="29" xfId="42" applyNumberFormat="1" applyFont="1" applyBorder="1" applyAlignment="1">
      <alignment horizontal="right"/>
    </xf>
    <xf numFmtId="0" fontId="75" fillId="0" borderId="29" xfId="63" applyFont="1" applyBorder="1">
      <alignment/>
      <protection/>
    </xf>
    <xf numFmtId="0" fontId="73" fillId="0" borderId="29" xfId="63" applyFont="1" applyBorder="1">
      <alignment/>
      <protection/>
    </xf>
    <xf numFmtId="0" fontId="75" fillId="0" borderId="28" xfId="63" applyFont="1" applyBorder="1">
      <alignment/>
      <protection/>
    </xf>
    <xf numFmtId="0" fontId="24" fillId="0" borderId="29" xfId="0" applyFont="1" applyBorder="1" applyAlignment="1">
      <alignment horizontal="center" vertical="top"/>
    </xf>
    <xf numFmtId="209" fontId="73" fillId="0" borderId="29" xfId="42" applyNumberFormat="1" applyFont="1" applyBorder="1" applyAlignment="1">
      <alignment horizontal="right" vertical="top"/>
    </xf>
    <xf numFmtId="208" fontId="73" fillId="0" borderId="29" xfId="42" applyNumberFormat="1" applyFont="1" applyBorder="1" applyAlignment="1">
      <alignment horizontal="right" vertical="top"/>
    </xf>
    <xf numFmtId="0" fontId="16" fillId="0" borderId="0" xfId="63" applyFont="1" applyBorder="1" applyAlignment="1">
      <alignment wrapText="1"/>
      <protection/>
    </xf>
    <xf numFmtId="204" fontId="13" fillId="0" borderId="0" xfId="46" applyNumberFormat="1" applyFont="1" applyBorder="1" applyAlignment="1">
      <alignment/>
    </xf>
    <xf numFmtId="205" fontId="13" fillId="0" borderId="0" xfId="46" applyNumberFormat="1" applyFont="1" applyBorder="1" applyAlignment="1">
      <alignment/>
    </xf>
    <xf numFmtId="205" fontId="13" fillId="0" borderId="17" xfId="46" applyNumberFormat="1" applyFont="1" applyBorder="1" applyAlignment="1">
      <alignment/>
    </xf>
    <xf numFmtId="1" fontId="7" fillId="0" borderId="0" xfId="46" applyNumberFormat="1" applyFont="1" applyBorder="1" applyAlignment="1">
      <alignment/>
    </xf>
    <xf numFmtId="205" fontId="7" fillId="0" borderId="0" xfId="46" applyNumberFormat="1" applyFont="1" applyBorder="1" applyAlignment="1">
      <alignment/>
    </xf>
    <xf numFmtId="205" fontId="13" fillId="0" borderId="19" xfId="46" applyNumberFormat="1" applyFont="1" applyBorder="1" applyAlignment="1">
      <alignment/>
    </xf>
    <xf numFmtId="0" fontId="13" fillId="0" borderId="17" xfId="63" applyFont="1" applyBorder="1" applyAlignment="1">
      <alignment horizontal="center"/>
      <protection/>
    </xf>
    <xf numFmtId="203" fontId="13" fillId="0" borderId="0" xfId="46" applyNumberFormat="1" applyFont="1" applyBorder="1" applyAlignment="1">
      <alignment/>
    </xf>
    <xf numFmtId="0" fontId="13" fillId="0" borderId="19" xfId="63" applyFont="1" applyBorder="1" applyAlignment="1">
      <alignment horizontal="center"/>
      <protection/>
    </xf>
    <xf numFmtId="0" fontId="16" fillId="0" borderId="19" xfId="63" applyFont="1" applyBorder="1">
      <alignment/>
      <protection/>
    </xf>
    <xf numFmtId="0" fontId="16" fillId="0" borderId="19" xfId="63" applyFont="1" applyFill="1" applyBorder="1">
      <alignment/>
      <protection/>
    </xf>
    <xf numFmtId="204" fontId="13" fillId="0" borderId="11" xfId="46" applyNumberFormat="1" applyFont="1" applyBorder="1" applyAlignment="1">
      <alignment/>
    </xf>
    <xf numFmtId="205" fontId="13" fillId="0" borderId="11" xfId="46" applyNumberFormat="1" applyFont="1" applyBorder="1" applyAlignment="1">
      <alignment/>
    </xf>
    <xf numFmtId="205" fontId="13" fillId="0" borderId="18" xfId="46" applyNumberFormat="1" applyFont="1" applyBorder="1" applyAlignment="1">
      <alignment/>
    </xf>
    <xf numFmtId="1" fontId="7" fillId="0" borderId="11" xfId="46" applyNumberFormat="1" applyFont="1" applyBorder="1" applyAlignment="1">
      <alignment/>
    </xf>
    <xf numFmtId="205" fontId="7" fillId="0" borderId="11" xfId="46" applyNumberFormat="1" applyFont="1" applyBorder="1" applyAlignment="1">
      <alignment/>
    </xf>
    <xf numFmtId="205" fontId="13" fillId="0" borderId="20" xfId="46" applyNumberFormat="1" applyFont="1" applyBorder="1" applyAlignment="1">
      <alignment/>
    </xf>
    <xf numFmtId="0" fontId="13" fillId="0" borderId="18" xfId="63" applyFont="1" applyBorder="1" applyAlignment="1">
      <alignment horizontal="center"/>
      <protection/>
    </xf>
    <xf numFmtId="203" fontId="13" fillId="0" borderId="11" xfId="46" applyNumberFormat="1" applyFont="1" applyBorder="1" applyAlignment="1">
      <alignment/>
    </xf>
    <xf numFmtId="0" fontId="13" fillId="0" borderId="20" xfId="63" applyFont="1" applyBorder="1" applyAlignment="1">
      <alignment horizontal="center"/>
      <protection/>
    </xf>
    <xf numFmtId="208" fontId="7" fillId="0" borderId="11" xfId="42" applyNumberFormat="1" applyFont="1" applyBorder="1" applyAlignment="1">
      <alignment/>
    </xf>
    <xf numFmtId="43" fontId="11" fillId="0" borderId="31" xfId="64" applyNumberFormat="1" applyFont="1" applyBorder="1" applyAlignment="1">
      <alignment vertical="top"/>
      <protection/>
    </xf>
    <xf numFmtId="206" fontId="5" fillId="0" borderId="31" xfId="64" applyNumberFormat="1" applyFont="1" applyBorder="1" applyAlignment="1">
      <alignment horizontal="right" vertical="top"/>
      <protection/>
    </xf>
    <xf numFmtId="204" fontId="11" fillId="0" borderId="31" xfId="64" applyNumberFormat="1" applyFont="1" applyBorder="1" applyAlignment="1">
      <alignment vertical="top"/>
      <protection/>
    </xf>
    <xf numFmtId="0" fontId="35" fillId="0" borderId="0" xfId="0" applyFont="1" applyAlignment="1">
      <alignment wrapText="1"/>
    </xf>
    <xf numFmtId="0" fontId="11" fillId="0" borderId="38" xfId="64" applyFont="1" applyBorder="1" applyAlignment="1">
      <alignment horizontal="center" vertical="top" wrapText="1"/>
      <protection/>
    </xf>
    <xf numFmtId="0" fontId="24" fillId="0" borderId="32" xfId="64" applyFont="1" applyBorder="1" applyAlignment="1">
      <alignment horizontal="center" vertical="top"/>
      <protection/>
    </xf>
    <xf numFmtId="0" fontId="4" fillId="0" borderId="31" xfId="0" applyFont="1" applyFill="1" applyBorder="1" applyAlignment="1">
      <alignment vertical="top" wrapText="1"/>
    </xf>
    <xf numFmtId="0" fontId="5" fillId="0" borderId="10" xfId="63" applyFont="1" applyBorder="1">
      <alignment/>
      <protection/>
    </xf>
    <xf numFmtId="0" fontId="75" fillId="39" borderId="0" xfId="64" applyFont="1" applyFill="1" applyBorder="1">
      <alignment/>
      <protection/>
    </xf>
    <xf numFmtId="204" fontId="11" fillId="39" borderId="0" xfId="46" applyNumberFormat="1" applyFont="1" applyFill="1" applyBorder="1" applyAlignment="1">
      <alignment horizontal="right"/>
    </xf>
    <xf numFmtId="208" fontId="11" fillId="39" borderId="0" xfId="42" applyNumberFormat="1" applyFont="1" applyFill="1" applyBorder="1" applyAlignment="1">
      <alignment horizontal="right"/>
    </xf>
    <xf numFmtId="203" fontId="11" fillId="39" borderId="0" xfId="46" applyNumberFormat="1" applyFont="1" applyFill="1" applyBorder="1" applyAlignment="1">
      <alignment horizontal="right"/>
    </xf>
    <xf numFmtId="204" fontId="5" fillId="39" borderId="0" xfId="64" applyNumberFormat="1" applyFont="1" applyFill="1" applyBorder="1" applyAlignment="1">
      <alignment horizontal="center"/>
      <protection/>
    </xf>
    <xf numFmtId="208" fontId="5" fillId="39" borderId="0" xfId="42" applyNumberFormat="1" applyFont="1" applyFill="1" applyBorder="1" applyAlignment="1">
      <alignment horizontal="right"/>
    </xf>
    <xf numFmtId="194" fontId="4" fillId="0" borderId="0" xfId="64" applyNumberFormat="1" applyFont="1" applyAlignment="1">
      <alignment/>
      <protection/>
    </xf>
    <xf numFmtId="0" fontId="24" fillId="0" borderId="0" xfId="63" applyFont="1" applyBorder="1" applyAlignment="1">
      <alignment horizontal="center"/>
      <protection/>
    </xf>
    <xf numFmtId="205" fontId="24" fillId="0" borderId="0" xfId="63" applyNumberFormat="1" applyFont="1" applyBorder="1" applyAlignment="1">
      <alignment horizontal="center"/>
      <protection/>
    </xf>
    <xf numFmtId="205" fontId="11" fillId="0" borderId="0" xfId="63" applyNumberFormat="1" applyFont="1" applyBorder="1" applyAlignment="1">
      <alignment horizontal="center"/>
      <protection/>
    </xf>
    <xf numFmtId="208" fontId="24" fillId="0" borderId="0" xfId="42" applyNumberFormat="1" applyFont="1" applyBorder="1" applyAlignment="1">
      <alignment horizontal="right"/>
    </xf>
    <xf numFmtId="205" fontId="11" fillId="0" borderId="11" xfId="63" applyNumberFormat="1" applyFont="1" applyBorder="1" applyAlignment="1">
      <alignment horizontal="center"/>
      <protection/>
    </xf>
    <xf numFmtId="0" fontId="24" fillId="0" borderId="11" xfId="63" applyFont="1" applyBorder="1" applyAlignment="1">
      <alignment horizontal="right"/>
      <protection/>
    </xf>
    <xf numFmtId="208" fontId="24" fillId="0" borderId="11" xfId="42" applyNumberFormat="1" applyFont="1" applyBorder="1" applyAlignment="1">
      <alignment horizontal="right"/>
    </xf>
    <xf numFmtId="205" fontId="5" fillId="0" borderId="0" xfId="63" applyNumberFormat="1" applyFont="1" applyFill="1" applyBorder="1" applyAlignment="1">
      <alignment horizontal="right"/>
      <protection/>
    </xf>
    <xf numFmtId="0" fontId="4" fillId="0" borderId="0" xfId="63" applyFont="1" applyBorder="1" quotePrefix="1">
      <alignment/>
      <protection/>
    </xf>
    <xf numFmtId="0" fontId="4" fillId="0" borderId="11" xfId="63" applyFont="1" applyBorder="1" quotePrefix="1">
      <alignment/>
      <protection/>
    </xf>
    <xf numFmtId="0" fontId="4" fillId="0" borderId="0" xfId="63" applyFont="1" applyBorder="1" quotePrefix="1">
      <alignment/>
      <protection/>
    </xf>
    <xf numFmtId="0" fontId="4" fillId="0" borderId="11" xfId="63" applyFont="1" applyBorder="1" quotePrefix="1">
      <alignment/>
      <protection/>
    </xf>
    <xf numFmtId="205" fontId="11" fillId="0" borderId="10" xfId="46" applyNumberFormat="1" applyFont="1" applyBorder="1" applyAlignment="1">
      <alignment/>
    </xf>
    <xf numFmtId="204" fontId="11" fillId="0" borderId="10" xfId="46" applyNumberFormat="1" applyFont="1" applyBorder="1" applyAlignment="1">
      <alignment/>
    </xf>
    <xf numFmtId="204" fontId="11" fillId="0" borderId="10" xfId="46" applyNumberFormat="1" applyFont="1" applyBorder="1" applyAlignment="1">
      <alignment horizontal="center"/>
    </xf>
    <xf numFmtId="208" fontId="11" fillId="0" borderId="10" xfId="42" applyNumberFormat="1" applyFont="1" applyBorder="1" applyAlignment="1">
      <alignment horizontal="center"/>
    </xf>
    <xf numFmtId="208" fontId="11" fillId="0" borderId="10" xfId="42" applyNumberFormat="1" applyFont="1" applyBorder="1" applyAlignment="1">
      <alignment/>
    </xf>
    <xf numFmtId="0" fontId="4" fillId="0" borderId="0" xfId="63" applyFont="1" applyFill="1" applyBorder="1">
      <alignment/>
      <protection/>
    </xf>
    <xf numFmtId="0" fontId="4" fillId="0" borderId="11" xfId="63" applyFont="1" applyFill="1" applyBorder="1">
      <alignment/>
      <protection/>
    </xf>
    <xf numFmtId="0" fontId="4" fillId="0" borderId="0" xfId="63" applyFont="1" applyBorder="1">
      <alignment/>
      <protection/>
    </xf>
    <xf numFmtId="0" fontId="5" fillId="34" borderId="10" xfId="64" applyFont="1" applyFill="1" applyBorder="1">
      <alignment/>
      <protection/>
    </xf>
    <xf numFmtId="0" fontId="4" fillId="0" borderId="10" xfId="63" applyFont="1" applyBorder="1" applyAlignment="1">
      <alignment horizontal="center"/>
      <protection/>
    </xf>
    <xf numFmtId="205" fontId="4" fillId="0" borderId="10" xfId="46" applyNumberFormat="1" applyFont="1" applyBorder="1" applyAlignment="1">
      <alignment/>
    </xf>
    <xf numFmtId="204" fontId="4" fillId="0" borderId="10" xfId="46" applyNumberFormat="1" applyFont="1" applyBorder="1" applyAlignment="1">
      <alignment/>
    </xf>
    <xf numFmtId="208" fontId="4" fillId="0" borderId="10" xfId="42" applyNumberFormat="1" applyFont="1" applyBorder="1" applyAlignment="1">
      <alignment/>
    </xf>
    <xf numFmtId="0" fontId="4" fillId="0" borderId="10" xfId="63" applyFont="1" applyBorder="1">
      <alignment/>
      <protection/>
    </xf>
    <xf numFmtId="209" fontId="5" fillId="33" borderId="13" xfId="42" applyNumberFormat="1" applyFont="1" applyFill="1" applyBorder="1" applyAlignment="1">
      <alignment/>
    </xf>
    <xf numFmtId="0" fontId="5" fillId="0" borderId="13" xfId="63" applyFont="1" applyBorder="1" applyAlignment="1">
      <alignment horizontal="center"/>
      <protection/>
    </xf>
    <xf numFmtId="0" fontId="11" fillId="0" borderId="10" xfId="63" applyFont="1" applyBorder="1">
      <alignment/>
      <protection/>
    </xf>
    <xf numFmtId="204" fontId="4" fillId="0" borderId="10" xfId="46" applyNumberFormat="1" applyFont="1" applyBorder="1" applyAlignment="1">
      <alignment horizontal="center"/>
    </xf>
    <xf numFmtId="0" fontId="24" fillId="0" borderId="10" xfId="63" applyFont="1" applyBorder="1">
      <alignment/>
      <protection/>
    </xf>
    <xf numFmtId="208" fontId="24" fillId="0" borderId="10" xfId="42" applyNumberFormat="1" applyFont="1" applyBorder="1" applyAlignment="1">
      <alignment/>
    </xf>
    <xf numFmtId="205" fontId="4" fillId="0" borderId="10" xfId="63" applyNumberFormat="1" applyFont="1" applyBorder="1">
      <alignment/>
      <protection/>
    </xf>
    <xf numFmtId="209" fontId="5" fillId="0" borderId="10" xfId="42" applyNumberFormat="1" applyFont="1" applyBorder="1" applyAlignment="1">
      <alignment/>
    </xf>
    <xf numFmtId="208" fontId="5" fillId="0" borderId="10" xfId="42" applyNumberFormat="1" applyFont="1" applyBorder="1" applyAlignment="1">
      <alignment/>
    </xf>
    <xf numFmtId="0" fontId="12" fillId="0" borderId="0" xfId="64" applyFont="1" applyBorder="1" applyAlignment="1">
      <alignment horizontal="center"/>
      <protection/>
    </xf>
    <xf numFmtId="0" fontId="12" fillId="0" borderId="0" xfId="64" applyFont="1" applyBorder="1">
      <alignment/>
      <protection/>
    </xf>
    <xf numFmtId="205" fontId="0" fillId="0" borderId="0" xfId="0" applyNumberFormat="1" applyBorder="1" applyAlignment="1">
      <alignment/>
    </xf>
    <xf numFmtId="208" fontId="0" fillId="0" borderId="0" xfId="42" applyNumberFormat="1" applyFont="1" applyBorder="1" applyAlignment="1">
      <alignment/>
    </xf>
    <xf numFmtId="0" fontId="8" fillId="36" borderId="14" xfId="64" applyFont="1" applyFill="1" applyBorder="1" applyAlignment="1">
      <alignment horizontal="center" vertical="center"/>
      <protection/>
    </xf>
    <xf numFmtId="0" fontId="8" fillId="36" borderId="12" xfId="64" applyFont="1" applyFill="1" applyBorder="1" applyAlignment="1">
      <alignment horizontal="center" vertical="center"/>
      <protection/>
    </xf>
    <xf numFmtId="0" fontId="9" fillId="36" borderId="13" xfId="64" applyFont="1" applyFill="1" applyBorder="1" applyAlignment="1">
      <alignment horizontal="center" vertical="center"/>
      <protection/>
    </xf>
    <xf numFmtId="204" fontId="9" fillId="36" borderId="13" xfId="46" applyNumberFormat="1" applyFont="1" applyFill="1" applyBorder="1" applyAlignment="1">
      <alignment horizontal="center" vertical="center"/>
    </xf>
    <xf numFmtId="204" fontId="9" fillId="36" borderId="13" xfId="46" applyNumberFormat="1" applyFont="1" applyFill="1" applyBorder="1" applyAlignment="1">
      <alignment horizontal="center" vertical="center" wrapText="1"/>
    </xf>
    <xf numFmtId="0" fontId="19" fillId="36" borderId="14" xfId="63" applyFont="1" applyFill="1" applyBorder="1" applyAlignment="1">
      <alignment horizontal="center" vertical="center"/>
      <protection/>
    </xf>
    <xf numFmtId="0" fontId="19" fillId="36" borderId="12" xfId="63" applyFont="1" applyFill="1" applyBorder="1" applyAlignment="1">
      <alignment vertical="center"/>
      <protection/>
    </xf>
    <xf numFmtId="204" fontId="20" fillId="36" borderId="13" xfId="46" applyNumberFormat="1" applyFont="1" applyFill="1" applyBorder="1" applyAlignment="1">
      <alignment horizontal="center" vertical="center" textRotation="59" wrapText="1"/>
    </xf>
    <xf numFmtId="204" fontId="21" fillId="36" borderId="13" xfId="46" applyNumberFormat="1" applyFont="1" applyFill="1" applyBorder="1" applyAlignment="1">
      <alignment horizontal="center" vertical="center" textRotation="61" wrapText="1"/>
    </xf>
    <xf numFmtId="204" fontId="21" fillId="36" borderId="13" xfId="46" applyNumberFormat="1" applyFont="1" applyFill="1" applyBorder="1" applyAlignment="1">
      <alignment horizontal="center" vertical="center" textRotation="60" wrapText="1"/>
    </xf>
    <xf numFmtId="204" fontId="21" fillId="36" borderId="14" xfId="46" applyNumberFormat="1" applyFont="1" applyFill="1" applyBorder="1" applyAlignment="1">
      <alignment vertical="center" textRotation="60" wrapText="1"/>
    </xf>
    <xf numFmtId="204" fontId="21" fillId="36" borderId="13" xfId="46" applyNumberFormat="1" applyFont="1" applyFill="1" applyBorder="1" applyAlignment="1">
      <alignment vertical="center" textRotation="61" wrapText="1"/>
    </xf>
    <xf numFmtId="204" fontId="21" fillId="36" borderId="14" xfId="46" applyNumberFormat="1" applyFont="1" applyFill="1" applyBorder="1" applyAlignment="1">
      <alignment vertical="center" textRotation="61" wrapText="1"/>
    </xf>
    <xf numFmtId="204" fontId="9" fillId="36" borderId="13" xfId="46" applyNumberFormat="1" applyFont="1" applyFill="1" applyBorder="1" applyAlignment="1">
      <alignment vertical="center"/>
    </xf>
    <xf numFmtId="204" fontId="5" fillId="36" borderId="14" xfId="46" applyNumberFormat="1" applyFont="1" applyFill="1" applyBorder="1" applyAlignment="1">
      <alignment horizontal="center" vertical="center"/>
    </xf>
    <xf numFmtId="0" fontId="0" fillId="36" borderId="39" xfId="0" applyFont="1" applyFill="1" applyBorder="1" applyAlignment="1">
      <alignment horizontal="center" vertical="center"/>
    </xf>
    <xf numFmtId="0" fontId="5" fillId="36" borderId="39" xfId="71" applyFont="1" applyFill="1" applyBorder="1" applyAlignment="1">
      <alignment horizontal="center" vertical="center"/>
      <protection/>
    </xf>
    <xf numFmtId="0" fontId="5" fillId="36" borderId="40" xfId="71" applyFont="1" applyFill="1" applyBorder="1" applyAlignment="1">
      <alignment horizontal="center" vertical="center"/>
      <protection/>
    </xf>
    <xf numFmtId="204" fontId="5" fillId="36" borderId="41" xfId="46" applyNumberFormat="1" applyFont="1" applyFill="1" applyBorder="1" applyAlignment="1">
      <alignment horizontal="center" vertical="center" wrapText="1"/>
    </xf>
    <xf numFmtId="204" fontId="5" fillId="36" borderId="14" xfId="46" applyNumberFormat="1"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5" fillId="36" borderId="42" xfId="71" applyFont="1" applyFill="1" applyBorder="1" applyAlignment="1">
      <alignment horizontal="center" vertical="center"/>
      <protection/>
    </xf>
    <xf numFmtId="204" fontId="5" fillId="36" borderId="43" xfId="46" applyNumberFormat="1" applyFont="1" applyFill="1" applyBorder="1" applyAlignment="1">
      <alignment horizontal="center" vertical="center"/>
    </xf>
    <xf numFmtId="204" fontId="5" fillId="36" borderId="44" xfId="46" applyNumberFormat="1" applyFont="1" applyFill="1" applyBorder="1" applyAlignment="1">
      <alignment horizontal="center" vertical="center"/>
    </xf>
    <xf numFmtId="204" fontId="5" fillId="36" borderId="45" xfId="46" applyNumberFormat="1" applyFont="1" applyFill="1" applyBorder="1" applyAlignment="1">
      <alignment horizontal="center" vertical="center"/>
    </xf>
    <xf numFmtId="204" fontId="5" fillId="36" borderId="22" xfId="46" applyNumberFormat="1" applyFont="1" applyFill="1" applyBorder="1" applyAlignment="1">
      <alignment horizontal="center" vertical="center"/>
    </xf>
    <xf numFmtId="0" fontId="5" fillId="36" borderId="14" xfId="63" applyFont="1" applyFill="1" applyBorder="1" applyAlignment="1">
      <alignment horizontal="center" vertical="center"/>
      <protection/>
    </xf>
    <xf numFmtId="0" fontId="0" fillId="36" borderId="0" xfId="0" applyFill="1" applyAlignment="1">
      <alignment/>
    </xf>
    <xf numFmtId="0" fontId="0" fillId="36" borderId="12" xfId="0" applyFill="1" applyBorder="1" applyAlignment="1">
      <alignment/>
    </xf>
    <xf numFmtId="0" fontId="5" fillId="36" borderId="43" xfId="71" applyFont="1" applyFill="1" applyBorder="1" applyAlignment="1">
      <alignment horizontal="center" vertical="center"/>
      <protection/>
    </xf>
    <xf numFmtId="0" fontId="5" fillId="36" borderId="44" xfId="71" applyFont="1" applyFill="1" applyBorder="1" applyAlignment="1">
      <alignment horizontal="center" vertical="center"/>
      <protection/>
    </xf>
    <xf numFmtId="0" fontId="5" fillId="36" borderId="45" xfId="71" applyFont="1" applyFill="1" applyBorder="1" applyAlignment="1">
      <alignment horizontal="center" vertical="center"/>
      <protection/>
    </xf>
    <xf numFmtId="203" fontId="5" fillId="36" borderId="14" xfId="46" applyNumberFormat="1" applyFont="1" applyFill="1" applyBorder="1" applyAlignment="1">
      <alignment horizontal="center" vertical="center"/>
    </xf>
    <xf numFmtId="203" fontId="0" fillId="36" borderId="39" xfId="0" applyNumberFormat="1" applyFont="1" applyFill="1" applyBorder="1" applyAlignment="1">
      <alignment horizontal="center" vertical="center"/>
    </xf>
    <xf numFmtId="204" fontId="5" fillId="36" borderId="27" xfId="46" applyNumberFormat="1" applyFont="1" applyFill="1" applyBorder="1" applyAlignment="1">
      <alignment horizontal="center" vertical="center"/>
    </xf>
    <xf numFmtId="0" fontId="0" fillId="36" borderId="40" xfId="0" applyFont="1" applyFill="1" applyBorder="1" applyAlignment="1">
      <alignment horizontal="center" vertical="center"/>
    </xf>
    <xf numFmtId="204" fontId="26" fillId="0" borderId="13" xfId="46" applyNumberFormat="1" applyFont="1" applyFill="1" applyBorder="1" applyAlignment="1">
      <alignment horizontal="center" textRotation="60" wrapText="1"/>
    </xf>
    <xf numFmtId="204" fontId="26" fillId="0" borderId="13" xfId="46" applyNumberFormat="1" applyFont="1" applyBorder="1" applyAlignment="1">
      <alignment horizontal="center" textRotation="60" wrapText="1"/>
    </xf>
    <xf numFmtId="0" fontId="8" fillId="0" borderId="13" xfId="63" applyFont="1" applyBorder="1" applyAlignment="1">
      <alignment horizontal="center" vertical="center"/>
      <protection/>
    </xf>
    <xf numFmtId="204" fontId="9" fillId="0" borderId="13" xfId="46" applyNumberFormat="1" applyFont="1" applyBorder="1" applyAlignment="1">
      <alignment horizontal="center" vertical="center"/>
    </xf>
    <xf numFmtId="208" fontId="5" fillId="0" borderId="35" xfId="42" applyNumberFormat="1" applyFont="1" applyBorder="1" applyAlignment="1">
      <alignment horizontal="center" vertical="center"/>
    </xf>
    <xf numFmtId="208" fontId="5" fillId="0" borderId="30" xfId="42" applyNumberFormat="1" applyFont="1" applyBorder="1" applyAlignment="1">
      <alignment horizontal="center" vertical="center"/>
    </xf>
    <xf numFmtId="0" fontId="5" fillId="0" borderId="35" xfId="63" applyFont="1" applyBorder="1" applyAlignment="1">
      <alignment horizontal="center" vertical="center"/>
      <protection/>
    </xf>
    <xf numFmtId="0" fontId="4" fillId="0" borderId="30" xfId="63" applyFont="1" applyBorder="1" applyAlignment="1">
      <alignment horizontal="center" vertical="center"/>
      <protection/>
    </xf>
    <xf numFmtId="0" fontId="4" fillId="0" borderId="35" xfId="63" applyFont="1" applyBorder="1" applyAlignment="1">
      <alignment horizontal="center" vertical="top"/>
      <protection/>
    </xf>
    <xf numFmtId="0" fontId="4" fillId="0" borderId="30" xfId="63" applyFont="1" applyBorder="1" applyAlignment="1">
      <alignment horizontal="center" vertical="top"/>
      <protection/>
    </xf>
    <xf numFmtId="0" fontId="5" fillId="0" borderId="30" xfId="63" applyFont="1" applyBorder="1" applyAlignment="1">
      <alignment horizontal="center" vertical="center"/>
      <protection/>
    </xf>
    <xf numFmtId="194" fontId="5" fillId="0" borderId="34" xfId="42" applyFont="1" applyBorder="1" applyAlignment="1">
      <alignment horizontal="center"/>
    </xf>
    <xf numFmtId="0" fontId="5" fillId="33" borderId="34" xfId="63" applyFont="1" applyFill="1" applyBorder="1" applyAlignment="1">
      <alignment horizontal="center" vertical="center"/>
      <protection/>
    </xf>
    <xf numFmtId="208" fontId="5" fillId="0" borderId="35" xfId="42" applyNumberFormat="1" applyFont="1" applyBorder="1" applyAlignment="1">
      <alignment horizontal="right" vertical="center" textRotation="60"/>
    </xf>
    <xf numFmtId="208" fontId="5" fillId="0" borderId="30" xfId="42" applyNumberFormat="1" applyFont="1" applyBorder="1" applyAlignment="1">
      <alignment horizontal="right" vertical="center" textRotation="60"/>
    </xf>
    <xf numFmtId="0" fontId="8" fillId="0" borderId="14" xfId="63" applyFont="1" applyBorder="1" applyAlignment="1">
      <alignment horizontal="center" vertical="center"/>
      <protection/>
    </xf>
    <xf numFmtId="0" fontId="8" fillId="0" borderId="12" xfId="63" applyFont="1" applyBorder="1" applyAlignment="1">
      <alignment vertical="center"/>
      <protection/>
    </xf>
    <xf numFmtId="204" fontId="26" fillId="0" borderId="13" xfId="46" applyNumberFormat="1" applyFont="1" applyBorder="1" applyAlignment="1">
      <alignment horizontal="center" textRotation="48" wrapText="1"/>
    </xf>
    <xf numFmtId="204" fontId="26" fillId="0" borderId="13" xfId="46" applyNumberFormat="1" applyFont="1" applyFill="1" applyBorder="1" applyAlignment="1">
      <alignment horizontal="center" textRotation="46" wrapText="1"/>
    </xf>
    <xf numFmtId="204" fontId="21" fillId="37" borderId="13" xfId="46" applyNumberFormat="1" applyFont="1" applyFill="1" applyBorder="1" applyAlignment="1">
      <alignment vertical="center" textRotation="47" wrapText="1"/>
    </xf>
    <xf numFmtId="204" fontId="26" fillId="0" borderId="13" xfId="46" applyNumberFormat="1" applyFont="1" applyBorder="1" applyAlignment="1">
      <alignment horizontal="center" textRotation="46" wrapText="1"/>
    </xf>
    <xf numFmtId="204" fontId="21" fillId="37" borderId="13" xfId="46" applyNumberFormat="1" applyFont="1" applyFill="1" applyBorder="1" applyAlignment="1">
      <alignment vertical="center" textRotation="46" wrapText="1"/>
    </xf>
    <xf numFmtId="204" fontId="26" fillId="0" borderId="13" xfId="46" applyNumberFormat="1" applyFont="1" applyBorder="1" applyAlignment="1">
      <alignment horizontal="left" textRotation="46" wrapText="1"/>
    </xf>
    <xf numFmtId="204" fontId="26" fillId="0" borderId="13" xfId="46" applyNumberFormat="1" applyFont="1" applyBorder="1" applyAlignment="1">
      <alignment horizontal="center" textRotation="45" wrapText="1"/>
    </xf>
    <xf numFmtId="204" fontId="20" fillId="0" borderId="13" xfId="46" applyNumberFormat="1" applyFont="1" applyBorder="1" applyAlignment="1">
      <alignment horizontal="center" textRotation="60" wrapText="1"/>
    </xf>
    <xf numFmtId="204" fontId="20" fillId="0" borderId="14" xfId="46" applyNumberFormat="1" applyFont="1" applyBorder="1" applyAlignment="1">
      <alignment horizontal="center" textRotation="60" wrapText="1"/>
    </xf>
    <xf numFmtId="0" fontId="19" fillId="0" borderId="14" xfId="63" applyFont="1" applyBorder="1" applyAlignment="1">
      <alignment horizontal="center" vertical="center"/>
      <protection/>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8" fillId="0" borderId="44" xfId="0" applyFont="1" applyBorder="1" applyAlignment="1">
      <alignment horizontal="center" vertical="center"/>
    </xf>
    <xf numFmtId="0" fontId="0" fillId="0" borderId="44" xfId="0" applyBorder="1" applyAlignment="1">
      <alignment horizontal="center" vertical="center"/>
    </xf>
    <xf numFmtId="0" fontId="9" fillId="0" borderId="14" xfId="0" applyFont="1" applyBorder="1" applyAlignment="1">
      <alignment horizontal="left" vertical="center" textRotation="71"/>
    </xf>
    <xf numFmtId="0" fontId="0" fillId="0" borderId="12" xfId="0" applyBorder="1" applyAlignment="1">
      <alignment vertical="center"/>
    </xf>
    <xf numFmtId="0" fontId="0" fillId="0" borderId="12" xfId="0" applyBorder="1" applyAlignment="1">
      <alignment horizontal="left" vertical="center"/>
    </xf>
    <xf numFmtId="204" fontId="5" fillId="0" borderId="44" xfId="46" applyNumberFormat="1" applyFont="1" applyBorder="1" applyAlignment="1">
      <alignment horizontal="center" vertical="center"/>
    </xf>
    <xf numFmtId="0" fontId="0" fillId="0" borderId="44" xfId="0" applyBorder="1" applyAlignment="1">
      <alignment vertical="center"/>
    </xf>
    <xf numFmtId="0" fontId="9" fillId="0" borderId="14" xfId="64" applyFont="1" applyBorder="1" applyAlignment="1">
      <alignment horizontal="center" vertical="center"/>
      <protection/>
    </xf>
    <xf numFmtId="0" fontId="9" fillId="0" borderId="12" xfId="64" applyFont="1" applyBorder="1" applyAlignment="1">
      <alignment horizontal="center" vertical="center"/>
      <protection/>
    </xf>
    <xf numFmtId="0" fontId="26" fillId="0" borderId="13" xfId="64" applyFont="1" applyBorder="1" applyAlignment="1">
      <alignment horizontal="center" textRotation="58"/>
      <protection/>
    </xf>
    <xf numFmtId="0" fontId="26" fillId="0" borderId="13" xfId="64" applyFont="1" applyBorder="1" applyAlignment="1">
      <alignment horizontal="center" textRotation="58" wrapText="1"/>
      <protection/>
    </xf>
    <xf numFmtId="0" fontId="9" fillId="0" borderId="13" xfId="64" applyFont="1" applyBorder="1" applyAlignment="1">
      <alignment horizontal="center" vertical="center"/>
      <protection/>
    </xf>
    <xf numFmtId="204" fontId="26" fillId="0" borderId="13" xfId="47" applyNumberFormat="1" applyFont="1" applyBorder="1" applyAlignment="1">
      <alignment horizontal="center" textRotation="58" wrapText="1"/>
    </xf>
    <xf numFmtId="204" fontId="26" fillId="0" borderId="13" xfId="47" applyNumberFormat="1" applyFont="1" applyBorder="1" applyAlignment="1">
      <alignment horizontal="center" textRotation="58"/>
    </xf>
    <xf numFmtId="208" fontId="5" fillId="0" borderId="21" xfId="42" applyNumberFormat="1" applyFont="1" applyBorder="1" applyAlignment="1">
      <alignment horizontal="center" vertical="center"/>
    </xf>
    <xf numFmtId="208" fontId="5" fillId="0" borderId="33" xfId="42" applyNumberFormat="1" applyFont="1" applyBorder="1" applyAlignment="1">
      <alignment horizontal="center" vertical="center"/>
    </xf>
    <xf numFmtId="208" fontId="5" fillId="0" borderId="35" xfId="42" applyNumberFormat="1" applyFont="1" applyBorder="1" applyAlignment="1">
      <alignment horizontal="right" vertical="center"/>
    </xf>
    <xf numFmtId="208" fontId="5" fillId="0" borderId="30" xfId="42" applyNumberFormat="1" applyFont="1" applyBorder="1" applyAlignment="1">
      <alignment horizontal="right" vertical="center"/>
    </xf>
    <xf numFmtId="208" fontId="5" fillId="0" borderId="35" xfId="42" applyNumberFormat="1" applyFont="1" applyBorder="1" applyAlignment="1">
      <alignment vertical="center"/>
    </xf>
    <xf numFmtId="208" fontId="5" fillId="0" borderId="30" xfId="42" applyNumberFormat="1" applyFont="1" applyBorder="1" applyAlignment="1">
      <alignment vertical="center"/>
    </xf>
    <xf numFmtId="0" fontId="9" fillId="0" borderId="14" xfId="64" applyFont="1" applyBorder="1" applyAlignment="1">
      <alignment horizontal="center" vertical="center" wrapText="1"/>
      <protection/>
    </xf>
    <xf numFmtId="0" fontId="0" fillId="0" borderId="12" xfId="0" applyBorder="1" applyAlignment="1">
      <alignment horizontal="center" vertical="center" wrapText="1"/>
    </xf>
    <xf numFmtId="208" fontId="5" fillId="0" borderId="35" xfId="42" applyNumberFormat="1" applyFont="1" applyBorder="1" applyAlignment="1">
      <alignment vertical="center" textRotation="60"/>
    </xf>
    <xf numFmtId="208" fontId="5" fillId="0" borderId="30" xfId="42" applyNumberFormat="1" applyFont="1" applyBorder="1" applyAlignment="1">
      <alignment vertical="center" textRotation="60"/>
    </xf>
    <xf numFmtId="204" fontId="26" fillId="0" borderId="44" xfId="46" applyNumberFormat="1" applyFont="1" applyBorder="1" applyAlignment="1">
      <alignment horizontal="center" textRotation="78" wrapText="1"/>
    </xf>
    <xf numFmtId="204" fontId="26" fillId="0" borderId="44" xfId="46" applyNumberFormat="1" applyFont="1" applyBorder="1" applyAlignment="1">
      <alignment horizontal="left" textRotation="78" wrapText="1"/>
    </xf>
    <xf numFmtId="204" fontId="9" fillId="0" borderId="44" xfId="46" applyNumberFormat="1" applyFont="1" applyBorder="1" applyAlignment="1">
      <alignment horizontal="center" vertical="center"/>
    </xf>
    <xf numFmtId="0" fontId="4" fillId="0" borderId="35" xfId="63" applyFont="1" applyBorder="1" applyAlignment="1">
      <alignment vertical="top"/>
      <protection/>
    </xf>
    <xf numFmtId="0" fontId="4" fillId="0" borderId="30" xfId="63" applyFont="1" applyBorder="1" applyAlignment="1">
      <alignment vertical="top"/>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Ann Report 2005 June_30" xfId="45"/>
    <cellStyle name="Comma_Annual TICP Report 2005" xfId="46"/>
    <cellStyle name="Comma_Draft Ann Rep 2005 June_30" xfId="47"/>
    <cellStyle name="Comma_Draft Ann Rep 2005 June_30 2"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_Annual Report 2001new" xfId="63"/>
    <cellStyle name="Normal_Publish Annual Report 2001new" xfId="64"/>
    <cellStyle name="Note" xfId="65"/>
    <cellStyle name="Output" xfId="66"/>
    <cellStyle name="Percent" xfId="67"/>
    <cellStyle name="Title" xfId="68"/>
    <cellStyle name="Total" xfId="69"/>
    <cellStyle name="Warning Text" xfId="70"/>
    <cellStyle name="ปกติ_Annual Report 2003 27Ju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1:P131"/>
  <sheetViews>
    <sheetView tabSelected="1" zoomScalePageLayoutView="0" workbookViewId="0" topLeftCell="A1">
      <pane xSplit="1" ySplit="4" topLeftCell="B5" activePane="bottomRight" state="frozen"/>
      <selection pane="topLeft" activeCell="L32" sqref="L32"/>
      <selection pane="topRight" activeCell="L32" sqref="L32"/>
      <selection pane="bottomLeft" activeCell="L32" sqref="L32"/>
      <selection pane="bottomRight" activeCell="I15" sqref="I15"/>
    </sheetView>
  </sheetViews>
  <sheetFormatPr defaultColWidth="9.140625" defaultRowHeight="12.75"/>
  <cols>
    <col min="1" max="1" width="31.7109375" style="26" customWidth="1"/>
    <col min="2" max="2" width="6.7109375" style="25" bestFit="1" customWidth="1"/>
    <col min="3" max="3" width="10.57421875" style="367" customWidth="1"/>
    <col min="4" max="4" width="4.7109375" style="26" customWidth="1"/>
    <col min="5" max="5" width="9.28125" style="367" bestFit="1" customWidth="1"/>
    <col min="6" max="6" width="5.421875" style="31" customWidth="1"/>
    <col min="7" max="7" width="9.8515625" style="370" customWidth="1"/>
    <col min="8" max="8" width="5.00390625" style="24" bestFit="1" customWidth="1"/>
    <col min="9" max="9" width="9.8515625" style="367" customWidth="1"/>
    <col min="10" max="10" width="6.57421875" style="25" customWidth="1"/>
    <col min="11" max="11" width="9.7109375" style="367" customWidth="1"/>
    <col min="12" max="12" width="5.28125" style="24" customWidth="1"/>
    <col min="13" max="13" width="9.57421875" style="24" customWidth="1"/>
    <col min="14" max="14" width="7.00390625" style="25" customWidth="1"/>
    <col min="15" max="15" width="10.140625" style="370" customWidth="1"/>
    <col min="16" max="16384" width="9.140625" style="121" customWidth="1"/>
  </cols>
  <sheetData>
    <row r="1" spans="1:15" ht="29.25" customHeight="1" thickBot="1">
      <c r="A1" s="1" t="s">
        <v>393</v>
      </c>
      <c r="B1" s="2"/>
      <c r="C1" s="361"/>
      <c r="D1" s="3"/>
      <c r="E1" s="361"/>
      <c r="F1" s="4"/>
      <c r="G1" s="369"/>
      <c r="H1" s="5"/>
      <c r="I1" s="361"/>
      <c r="J1" s="2"/>
      <c r="K1" s="361"/>
      <c r="L1" s="5"/>
      <c r="M1" s="447"/>
      <c r="O1" s="448" t="s">
        <v>92</v>
      </c>
    </row>
    <row r="2" spans="1:15" s="7" customFormat="1" ht="32.25" customHeight="1" thickBot="1">
      <c r="A2" s="1175" t="s">
        <v>1</v>
      </c>
      <c r="B2" s="1177" t="s">
        <v>2</v>
      </c>
      <c r="C2" s="1177"/>
      <c r="D2" s="1177" t="s">
        <v>3</v>
      </c>
      <c r="E2" s="1177"/>
      <c r="F2" s="1178" t="s">
        <v>4</v>
      </c>
      <c r="G2" s="1178"/>
      <c r="H2" s="1178" t="s">
        <v>5</v>
      </c>
      <c r="I2" s="1178"/>
      <c r="J2" s="1178" t="s">
        <v>6</v>
      </c>
      <c r="K2" s="1178"/>
      <c r="L2" s="1179" t="s">
        <v>127</v>
      </c>
      <c r="M2" s="1179"/>
      <c r="N2" s="1177" t="s">
        <v>7</v>
      </c>
      <c r="O2" s="1177"/>
    </row>
    <row r="3" spans="1:15" s="7" customFormat="1" ht="21.75" customHeight="1" thickBot="1">
      <c r="A3" s="1176"/>
      <c r="B3" s="410" t="s">
        <v>8</v>
      </c>
      <c r="C3" s="411" t="s">
        <v>9</v>
      </c>
      <c r="D3" s="410" t="s">
        <v>10</v>
      </c>
      <c r="E3" s="411" t="s">
        <v>9</v>
      </c>
      <c r="F3" s="412" t="s">
        <v>10</v>
      </c>
      <c r="G3" s="411" t="s">
        <v>9</v>
      </c>
      <c r="H3" s="412" t="s">
        <v>10</v>
      </c>
      <c r="I3" s="411" t="s">
        <v>9</v>
      </c>
      <c r="J3" s="410" t="s">
        <v>10</v>
      </c>
      <c r="K3" s="411" t="s">
        <v>9</v>
      </c>
      <c r="L3" s="410" t="s">
        <v>10</v>
      </c>
      <c r="M3" s="412" t="s">
        <v>9</v>
      </c>
      <c r="N3" s="410" t="s">
        <v>179</v>
      </c>
      <c r="O3" s="411" t="s">
        <v>9</v>
      </c>
    </row>
    <row r="4" spans="1:15" ht="21.75" customHeight="1">
      <c r="A4" s="384" t="s">
        <v>134</v>
      </c>
      <c r="B4" s="385"/>
      <c r="C4" s="386"/>
      <c r="D4" s="387"/>
      <c r="E4" s="386"/>
      <c r="F4" s="388"/>
      <c r="G4" s="389"/>
      <c r="H4" s="390"/>
      <c r="I4" s="386"/>
      <c r="J4" s="385"/>
      <c r="K4" s="386"/>
      <c r="L4" s="390"/>
      <c r="M4" s="390"/>
      <c r="N4" s="385"/>
      <c r="O4" s="389"/>
    </row>
    <row r="5" spans="1:15" ht="19.5" customHeight="1">
      <c r="A5" s="10" t="s">
        <v>11</v>
      </c>
      <c r="B5" s="11">
        <f>ApIII!T6</f>
        <v>267</v>
      </c>
      <c r="C5" s="334">
        <f>ApIII!U6</f>
        <v>86458.1</v>
      </c>
      <c r="D5" s="12">
        <f>ApVI!R5</f>
        <v>0</v>
      </c>
      <c r="E5" s="358">
        <f>ApVI!S5</f>
        <v>0</v>
      </c>
      <c r="F5" s="11">
        <f>ApIX!R5</f>
        <v>3</v>
      </c>
      <c r="G5" s="334">
        <f>ApIX!S5</f>
        <v>338.29999999999995</v>
      </c>
      <c r="H5" s="11"/>
      <c r="I5" s="363"/>
      <c r="J5" s="13">
        <f>ApXI!X5</f>
        <v>37</v>
      </c>
      <c r="K5" s="13">
        <f>ApXI!Y5</f>
        <v>1714.1000000000001</v>
      </c>
      <c r="L5" s="12">
        <f>ApXIV!V6+ApXIV!V17+ApXIV!V28</f>
        <v>47</v>
      </c>
      <c r="M5" s="358">
        <f>ApXIV!W6+ApXIV!W17+ApXIV!W28</f>
        <v>1937.4</v>
      </c>
      <c r="N5" s="154">
        <f aca="true" t="shared" si="0" ref="N5:O8">SUM(B5,D5,F5,H5,J5,L5)</f>
        <v>354</v>
      </c>
      <c r="O5" s="372">
        <f t="shared" si="0"/>
        <v>90447.90000000001</v>
      </c>
    </row>
    <row r="6" spans="1:15" ht="19.5" customHeight="1">
      <c r="A6" s="10" t="s">
        <v>12</v>
      </c>
      <c r="B6" s="11">
        <f>ApIII!T7</f>
        <v>557</v>
      </c>
      <c r="C6" s="334">
        <f>ApIII!U7</f>
        <v>132509.87105</v>
      </c>
      <c r="D6" s="12">
        <f>ApVI!R6</f>
        <v>0</v>
      </c>
      <c r="E6" s="358">
        <f>ApVI!S6</f>
        <v>0</v>
      </c>
      <c r="F6" s="11">
        <f>ApIX!R6</f>
        <v>2</v>
      </c>
      <c r="G6" s="334">
        <f>ApIX!S6</f>
        <v>268.6</v>
      </c>
      <c r="H6" s="11"/>
      <c r="I6" s="363"/>
      <c r="J6" s="13">
        <f>ApXI!X6</f>
        <v>53</v>
      </c>
      <c r="K6" s="13">
        <f>ApXI!Y6</f>
        <v>4783.700000000001</v>
      </c>
      <c r="L6" s="12">
        <f>ApXIV!V7+ApXIV!V18+ApXIV!V29</f>
        <v>12</v>
      </c>
      <c r="M6" s="358">
        <f>ApXIV!W7+ApXIV!W18+ApXIV!W29</f>
        <v>636</v>
      </c>
      <c r="N6" s="154">
        <f t="shared" si="0"/>
        <v>624</v>
      </c>
      <c r="O6" s="372">
        <f t="shared" si="0"/>
        <v>138198.17105</v>
      </c>
    </row>
    <row r="7" spans="1:15" ht="19.5" customHeight="1">
      <c r="A7" s="10" t="s">
        <v>13</v>
      </c>
      <c r="B7" s="11">
        <f>ApIII!T8</f>
        <v>240</v>
      </c>
      <c r="C7" s="334">
        <f>ApIII!U8</f>
        <v>32005.700000000004</v>
      </c>
      <c r="D7" s="12">
        <f>ApVI!R7</f>
        <v>0</v>
      </c>
      <c r="E7" s="358">
        <f>ApVI!S7</f>
        <v>0</v>
      </c>
      <c r="F7" s="11">
        <f>ApIX!R7</f>
        <v>1</v>
      </c>
      <c r="G7" s="334">
        <f>ApIX!S7</f>
        <v>40</v>
      </c>
      <c r="H7" s="11"/>
      <c r="I7" s="363"/>
      <c r="J7" s="13">
        <f>ApXI!X7</f>
        <v>49</v>
      </c>
      <c r="K7" s="13">
        <f>ApXI!Y7</f>
        <v>2916.8</v>
      </c>
      <c r="L7" s="12">
        <f>ApXIV!V8+ApXIV!V30</f>
        <v>17</v>
      </c>
      <c r="M7" s="358">
        <f>ApXIV!W8+ApXIV!W30</f>
        <v>1121.1</v>
      </c>
      <c r="N7" s="154">
        <f t="shared" si="0"/>
        <v>307</v>
      </c>
      <c r="O7" s="372">
        <f t="shared" si="0"/>
        <v>36083.600000000006</v>
      </c>
    </row>
    <row r="8" spans="1:15" ht="19.5" customHeight="1">
      <c r="A8" s="10" t="s">
        <v>14</v>
      </c>
      <c r="B8" s="11">
        <f>ApIII!T9</f>
        <v>64</v>
      </c>
      <c r="C8" s="334">
        <f>ApIII!U9</f>
        <v>8906.800000000001</v>
      </c>
      <c r="D8" s="12">
        <f>ApVI!R8</f>
        <v>0</v>
      </c>
      <c r="E8" s="358">
        <f>ApVI!S8</f>
        <v>0</v>
      </c>
      <c r="F8" s="11">
        <f>ApIX!R8</f>
        <v>2</v>
      </c>
      <c r="G8" s="334">
        <f>ApIX!S8</f>
        <v>176</v>
      </c>
      <c r="H8" s="11"/>
      <c r="I8" s="363"/>
      <c r="J8" s="13">
        <f>ApXI!X8</f>
        <v>23</v>
      </c>
      <c r="K8" s="13">
        <f>ApXI!Y8</f>
        <v>1412.6</v>
      </c>
      <c r="L8" s="12">
        <f>ApXIV!V9+ApXIV!V20+ApXIV!V31+ApXIV!V43</f>
        <v>27</v>
      </c>
      <c r="M8" s="358">
        <f>ApXIV!W9+ApXIV!W20+ApXIV!W31+ApXIV!W43</f>
        <v>1432.3000000000002</v>
      </c>
      <c r="N8" s="154">
        <f t="shared" si="0"/>
        <v>116</v>
      </c>
      <c r="O8" s="372">
        <f t="shared" si="0"/>
        <v>11927.7</v>
      </c>
    </row>
    <row r="9" spans="1:15" ht="21.75" customHeight="1">
      <c r="A9" s="391" t="s">
        <v>15</v>
      </c>
      <c r="B9" s="392"/>
      <c r="C9" s="393"/>
      <c r="D9" s="394"/>
      <c r="E9" s="393"/>
      <c r="F9" s="392"/>
      <c r="G9" s="395"/>
      <c r="H9" s="394"/>
      <c r="I9" s="393"/>
      <c r="J9" s="396"/>
      <c r="K9" s="393"/>
      <c r="L9" s="394"/>
      <c r="M9" s="394"/>
      <c r="N9" s="397"/>
      <c r="O9" s="398"/>
    </row>
    <row r="10" spans="1:15" ht="19.5" customHeight="1">
      <c r="A10" s="10" t="s">
        <v>16</v>
      </c>
      <c r="B10" s="11">
        <f>ApIII!T11</f>
        <v>19</v>
      </c>
      <c r="C10" s="334">
        <f>ApIII!U11</f>
        <v>989.8</v>
      </c>
      <c r="D10" s="12">
        <f>ApVI!R10</f>
        <v>0</v>
      </c>
      <c r="E10" s="358">
        <f>ApVI!S10</f>
        <v>11.6</v>
      </c>
      <c r="F10" s="15">
        <f>ApIX!R10</f>
        <v>10</v>
      </c>
      <c r="G10" s="732">
        <f>ApIX!S10</f>
        <v>903.5</v>
      </c>
      <c r="H10" s="11"/>
      <c r="I10" s="363"/>
      <c r="J10" s="11"/>
      <c r="K10" s="334"/>
      <c r="L10" s="11"/>
      <c r="M10" s="334"/>
      <c r="N10" s="154">
        <f aca="true" t="shared" si="1" ref="N10:O13">SUM(B10,D10,F10,H10,J10,L10)</f>
        <v>29</v>
      </c>
      <c r="O10" s="372">
        <f t="shared" si="1"/>
        <v>1904.9</v>
      </c>
    </row>
    <row r="11" spans="1:15" ht="19.5" customHeight="1">
      <c r="A11" s="10" t="s">
        <v>17</v>
      </c>
      <c r="B11" s="11">
        <f>ApIII!T12</f>
        <v>30</v>
      </c>
      <c r="C11" s="334">
        <f>ApIII!U12</f>
        <v>918.7</v>
      </c>
      <c r="D11" s="12"/>
      <c r="E11" s="358"/>
      <c r="F11" s="15">
        <f>ApIX!R11</f>
        <v>3</v>
      </c>
      <c r="G11" s="732">
        <f>ApIX!S11</f>
        <v>208.2</v>
      </c>
      <c r="H11" s="11"/>
      <c r="I11" s="363"/>
      <c r="J11" s="11">
        <f>ApXI!X10</f>
        <v>7</v>
      </c>
      <c r="K11" s="334">
        <f>ApXI!Y10</f>
        <v>709.5</v>
      </c>
      <c r="L11" s="11">
        <f>ApXIV!V45</f>
        <v>4</v>
      </c>
      <c r="M11" s="334">
        <f>ApXIV!W45</f>
        <v>350.9</v>
      </c>
      <c r="N11" s="154">
        <f t="shared" si="1"/>
        <v>44</v>
      </c>
      <c r="O11" s="372">
        <f>SUM(C11,E11,G11,I11,K11,M11)</f>
        <v>2187.3</v>
      </c>
    </row>
    <row r="12" spans="1:15" ht="19.5" customHeight="1">
      <c r="A12" s="10" t="s">
        <v>18</v>
      </c>
      <c r="B12" s="11">
        <f>ApIII!T13</f>
        <v>17</v>
      </c>
      <c r="C12" s="334">
        <f>ApIII!U13</f>
        <v>415</v>
      </c>
      <c r="D12" s="12">
        <f>ApVI!R11</f>
        <v>1</v>
      </c>
      <c r="E12" s="358">
        <f>ApVI!S11</f>
        <v>250</v>
      </c>
      <c r="F12" s="15">
        <f>ApIX!R12</f>
        <v>6</v>
      </c>
      <c r="G12" s="732">
        <f>ApIX!S12</f>
        <v>608.3000000000001</v>
      </c>
      <c r="H12" s="11"/>
      <c r="I12" s="363"/>
      <c r="J12" s="11">
        <f>ApXI!X11</f>
        <v>11</v>
      </c>
      <c r="K12" s="334">
        <f>ApXI!Y11</f>
        <v>547.5</v>
      </c>
      <c r="L12" s="11"/>
      <c r="M12" s="334"/>
      <c r="N12" s="154">
        <f>SUM(B12,D12,F12,H12,J12,L12)</f>
        <v>35</v>
      </c>
      <c r="O12" s="372">
        <f>SUM(C12,E12,G12,I12,K12,M12)</f>
        <v>1820.8000000000002</v>
      </c>
    </row>
    <row r="13" spans="1:15" ht="19.5" customHeight="1">
      <c r="A13" s="16" t="s">
        <v>19</v>
      </c>
      <c r="B13" s="11">
        <f>ApIII!T14</f>
        <v>11</v>
      </c>
      <c r="C13" s="334">
        <f>ApIII!U14</f>
        <v>849.9</v>
      </c>
      <c r="D13" s="12">
        <f>ApVI!R12</f>
        <v>1</v>
      </c>
      <c r="E13" s="358">
        <f>ApVI!S12</f>
        <v>75.3</v>
      </c>
      <c r="F13" s="15">
        <f>ApIX!R13</f>
        <v>0</v>
      </c>
      <c r="G13" s="732">
        <f>ApIX!S13</f>
        <v>0</v>
      </c>
      <c r="H13" s="17"/>
      <c r="I13" s="364"/>
      <c r="J13" s="11">
        <f>ApXI!X12</f>
        <v>3</v>
      </c>
      <c r="K13" s="334">
        <f>ApXI!Y12</f>
        <v>672.7</v>
      </c>
      <c r="L13" s="17"/>
      <c r="M13" s="383"/>
      <c r="N13" s="155">
        <f t="shared" si="1"/>
        <v>15</v>
      </c>
      <c r="O13" s="373">
        <f t="shared" si="1"/>
        <v>1597.9</v>
      </c>
    </row>
    <row r="14" spans="1:15" ht="21.75" customHeight="1">
      <c r="A14" s="384" t="s">
        <v>20</v>
      </c>
      <c r="B14" s="388"/>
      <c r="C14" s="386"/>
      <c r="D14" s="399"/>
      <c r="E14" s="389"/>
      <c r="F14" s="388"/>
      <c r="G14" s="389"/>
      <c r="H14" s="390"/>
      <c r="I14" s="386"/>
      <c r="J14" s="385"/>
      <c r="K14" s="386"/>
      <c r="L14" s="390"/>
      <c r="M14" s="390"/>
      <c r="N14" s="400"/>
      <c r="O14" s="401"/>
    </row>
    <row r="15" spans="1:15" ht="19.5" customHeight="1">
      <c r="A15" s="10" t="s">
        <v>21</v>
      </c>
      <c r="B15" s="11">
        <f>ApIII!T16</f>
        <v>0</v>
      </c>
      <c r="C15" s="11">
        <f>ApIII!U16</f>
        <v>0</v>
      </c>
      <c r="D15" s="11"/>
      <c r="E15" s="363"/>
      <c r="F15" s="11"/>
      <c r="G15" s="334"/>
      <c r="H15" s="11">
        <f>ApVII!R6</f>
        <v>93</v>
      </c>
      <c r="I15" s="334">
        <f>ApVII!S6</f>
        <v>2069</v>
      </c>
      <c r="J15" s="13"/>
      <c r="K15" s="798"/>
      <c r="L15" s="11">
        <f>ApXIV!V33</f>
        <v>5</v>
      </c>
      <c r="M15" s="334">
        <f>ApXIV!W33</f>
        <v>74.5</v>
      </c>
      <c r="N15" s="154">
        <f aca="true" t="shared" si="2" ref="N15:O17">SUM(B15,D15,F15,H15,J15,L15)</f>
        <v>98</v>
      </c>
      <c r="O15" s="372">
        <f t="shared" si="2"/>
        <v>2143.5</v>
      </c>
    </row>
    <row r="16" spans="1:15" s="228" customFormat="1" ht="19.5" customHeight="1">
      <c r="A16" s="10" t="s">
        <v>22</v>
      </c>
      <c r="B16" s="11">
        <f>ApIII!T17</f>
        <v>12</v>
      </c>
      <c r="C16" s="334">
        <f>ApIII!U17</f>
        <v>917.8</v>
      </c>
      <c r="D16" s="11"/>
      <c r="E16" s="363"/>
      <c r="F16" s="11"/>
      <c r="G16" s="334"/>
      <c r="H16" s="11"/>
      <c r="I16" s="363"/>
      <c r="J16" s="13"/>
      <c r="K16" s="363"/>
      <c r="L16" s="11"/>
      <c r="M16" s="11"/>
      <c r="N16" s="154">
        <f t="shared" si="2"/>
        <v>12</v>
      </c>
      <c r="O16" s="372">
        <f t="shared" si="2"/>
        <v>917.8</v>
      </c>
    </row>
    <row r="17" spans="1:15" s="230" customFormat="1" ht="19.5" customHeight="1">
      <c r="A17" s="16" t="s">
        <v>590</v>
      </c>
      <c r="B17" s="11">
        <f>ApIII!T18</f>
        <v>24</v>
      </c>
      <c r="C17" s="334">
        <f>ApIII!U18</f>
        <v>4566.4</v>
      </c>
      <c r="D17" s="17"/>
      <c r="E17" s="364"/>
      <c r="F17" s="17"/>
      <c r="G17" s="383"/>
      <c r="H17" s="17"/>
      <c r="I17" s="364"/>
      <c r="J17" s="229"/>
      <c r="K17" s="364"/>
      <c r="L17" s="17"/>
      <c r="M17" s="17"/>
      <c r="N17" s="155">
        <f t="shared" si="2"/>
        <v>24</v>
      </c>
      <c r="O17" s="373">
        <f t="shared" si="2"/>
        <v>4566.4</v>
      </c>
    </row>
    <row r="18" spans="1:15" ht="21.75" customHeight="1">
      <c r="A18" s="402" t="s">
        <v>23</v>
      </c>
      <c r="B18" s="388"/>
      <c r="C18" s="386"/>
      <c r="D18" s="390"/>
      <c r="E18" s="386"/>
      <c r="F18" s="388"/>
      <c r="G18" s="389"/>
      <c r="H18" s="390"/>
      <c r="I18" s="386"/>
      <c r="J18" s="403"/>
      <c r="K18" s="386"/>
      <c r="L18" s="390"/>
      <c r="M18" s="390"/>
      <c r="N18" s="400"/>
      <c r="O18" s="401"/>
    </row>
    <row r="19" spans="1:15" ht="19.5" customHeight="1">
      <c r="A19" s="10" t="s">
        <v>348</v>
      </c>
      <c r="B19" s="11"/>
      <c r="C19" s="334"/>
      <c r="D19" s="11">
        <f>ApVI!R14</f>
        <v>3</v>
      </c>
      <c r="E19" s="334">
        <f>ApVI!S14</f>
        <v>1159.1999999999998</v>
      </c>
      <c r="F19" s="11">
        <f>ApIX!R15</f>
        <v>1</v>
      </c>
      <c r="G19" s="334">
        <f>ApIX!S15</f>
        <v>142.1</v>
      </c>
      <c r="H19" s="11"/>
      <c r="I19" s="363"/>
      <c r="J19" s="13"/>
      <c r="K19" s="798"/>
      <c r="L19" s="11"/>
      <c r="M19" s="334"/>
      <c r="N19" s="154">
        <f aca="true" t="shared" si="3" ref="N19:O21">SUM(B19,D19,F19,H19,J19,L19)</f>
        <v>4</v>
      </c>
      <c r="O19" s="372">
        <f t="shared" si="3"/>
        <v>1301.2999999999997</v>
      </c>
    </row>
    <row r="20" spans="1:15" ht="19.5" customHeight="1">
      <c r="A20" s="10" t="s">
        <v>24</v>
      </c>
      <c r="B20" s="11">
        <f>ApIII!T20</f>
        <v>1</v>
      </c>
      <c r="C20" s="334">
        <f>ApIII!U20</f>
        <v>1654.9</v>
      </c>
      <c r="D20" s="11"/>
      <c r="E20" s="363"/>
      <c r="F20" s="11">
        <f>ApIX!R16</f>
        <v>9</v>
      </c>
      <c r="G20" s="334">
        <f>ApIX!S16</f>
        <v>958</v>
      </c>
      <c r="H20" s="11"/>
      <c r="I20" s="363"/>
      <c r="J20" s="13">
        <f>ApXI!X15</f>
        <v>2</v>
      </c>
      <c r="K20" s="13">
        <f>ApXI!Y15</f>
        <v>145.4</v>
      </c>
      <c r="L20" s="11"/>
      <c r="M20" s="334"/>
      <c r="N20" s="154">
        <f t="shared" si="3"/>
        <v>12</v>
      </c>
      <c r="O20" s="372">
        <f t="shared" si="3"/>
        <v>2758.3</v>
      </c>
    </row>
    <row r="21" spans="1:15" ht="19.5" customHeight="1">
      <c r="A21" s="10" t="s">
        <v>25</v>
      </c>
      <c r="B21" s="11">
        <f>ApIII!T21</f>
        <v>72</v>
      </c>
      <c r="C21" s="334">
        <f>ApIII!U21</f>
        <v>26824.5</v>
      </c>
      <c r="D21" s="11"/>
      <c r="E21" s="363"/>
      <c r="F21" s="11"/>
      <c r="G21" s="334"/>
      <c r="H21" s="11"/>
      <c r="I21" s="363"/>
      <c r="J21" s="13">
        <f>ApXI!X16</f>
        <v>1</v>
      </c>
      <c r="K21" s="13">
        <f>ApXI!Y16</f>
        <v>72.7</v>
      </c>
      <c r="L21" s="11"/>
      <c r="M21" s="334"/>
      <c r="N21" s="154">
        <f t="shared" si="3"/>
        <v>73</v>
      </c>
      <c r="O21" s="372">
        <f t="shared" si="3"/>
        <v>26897.2</v>
      </c>
    </row>
    <row r="22" spans="1:15" ht="19.5" customHeight="1">
      <c r="A22" s="10" t="s">
        <v>406</v>
      </c>
      <c r="B22" s="11">
        <f>ApIII!T23</f>
        <v>1</v>
      </c>
      <c r="C22" s="334">
        <f>ApIII!U23</f>
        <v>165</v>
      </c>
      <c r="D22" s="11"/>
      <c r="E22" s="363"/>
      <c r="F22" s="11"/>
      <c r="G22" s="334"/>
      <c r="H22" s="11"/>
      <c r="I22" s="363"/>
      <c r="J22" s="13">
        <f>ApXI!X17</f>
        <v>1</v>
      </c>
      <c r="K22" s="13">
        <f>ApXI!Y17</f>
        <v>72.7</v>
      </c>
      <c r="L22" s="11"/>
      <c r="M22" s="334"/>
      <c r="N22" s="154">
        <f aca="true" t="shared" si="4" ref="N22:N31">SUM(B22,D22,F22,H22,J22,L22)</f>
        <v>2</v>
      </c>
      <c r="O22" s="372">
        <f aca="true" t="shared" si="5" ref="O22:O31">SUM(C22,E22,G22,I22,K22,M22)</f>
        <v>237.7</v>
      </c>
    </row>
    <row r="23" spans="1:15" ht="19.5" customHeight="1">
      <c r="A23" s="10" t="s">
        <v>407</v>
      </c>
      <c r="B23" s="11">
        <f>ApIII!T24</f>
        <v>1</v>
      </c>
      <c r="C23" s="334">
        <f>ApIII!U24</f>
        <v>165</v>
      </c>
      <c r="D23" s="11"/>
      <c r="E23" s="363"/>
      <c r="F23" s="11"/>
      <c r="G23" s="334"/>
      <c r="H23" s="11"/>
      <c r="I23" s="363"/>
      <c r="J23" s="13"/>
      <c r="K23" s="363"/>
      <c r="L23" s="11"/>
      <c r="M23" s="334"/>
      <c r="N23" s="154">
        <f t="shared" si="4"/>
        <v>1</v>
      </c>
      <c r="O23" s="372">
        <f t="shared" si="5"/>
        <v>165</v>
      </c>
    </row>
    <row r="24" spans="1:15" ht="19.5" customHeight="1">
      <c r="A24" s="10" t="s">
        <v>27</v>
      </c>
      <c r="B24" s="11">
        <f>ApIII!T25</f>
        <v>0</v>
      </c>
      <c r="C24" s="334">
        <f>ApIII!U25</f>
        <v>269.7</v>
      </c>
      <c r="D24" s="11"/>
      <c r="E24" s="363"/>
      <c r="F24" s="15">
        <f>ApIX!R17</f>
        <v>2</v>
      </c>
      <c r="G24" s="732">
        <f>ApIX!S17</f>
        <v>253.1</v>
      </c>
      <c r="H24" s="11"/>
      <c r="I24" s="363"/>
      <c r="J24" s="11"/>
      <c r="K24" s="334"/>
      <c r="L24" s="11"/>
      <c r="M24" s="11"/>
      <c r="N24" s="154">
        <f t="shared" si="4"/>
        <v>2</v>
      </c>
      <c r="O24" s="372">
        <f t="shared" si="5"/>
        <v>522.8</v>
      </c>
    </row>
    <row r="25" spans="1:15" ht="19.5" customHeight="1">
      <c r="A25" s="10" t="s">
        <v>28</v>
      </c>
      <c r="B25" s="11">
        <f>ApIII!T26</f>
        <v>1</v>
      </c>
      <c r="C25" s="334">
        <f>ApIII!U26</f>
        <v>165</v>
      </c>
      <c r="D25" s="11">
        <f>ApVI!R16</f>
        <v>5</v>
      </c>
      <c r="E25" s="334">
        <f>ApVI!S16</f>
        <v>1744.3</v>
      </c>
      <c r="F25" s="15">
        <f>ApIX!R18</f>
        <v>2</v>
      </c>
      <c r="G25" s="732">
        <f>ApIX!S18</f>
        <v>183.6</v>
      </c>
      <c r="H25" s="11"/>
      <c r="I25" s="363"/>
      <c r="J25" s="11">
        <f>ApXI!X18</f>
        <v>2</v>
      </c>
      <c r="K25" s="334">
        <f>ApXI!Y18</f>
        <v>340.8</v>
      </c>
      <c r="L25" s="11"/>
      <c r="M25" s="334"/>
      <c r="N25" s="154">
        <f t="shared" si="4"/>
        <v>10</v>
      </c>
      <c r="O25" s="372">
        <f t="shared" si="5"/>
        <v>2433.7000000000003</v>
      </c>
    </row>
    <row r="26" spans="1:15" ht="19.5" customHeight="1">
      <c r="A26" s="10" t="s">
        <v>29</v>
      </c>
      <c r="B26" s="11">
        <f>ApIII!T27</f>
        <v>1</v>
      </c>
      <c r="C26" s="334">
        <f>ApIII!U27</f>
        <v>54.6</v>
      </c>
      <c r="D26" s="11">
        <f>ApVI!R17</f>
        <v>2</v>
      </c>
      <c r="E26" s="334">
        <f>ApVI!S17</f>
        <v>606.3</v>
      </c>
      <c r="F26" s="15">
        <f>ApIX!R19</f>
        <v>2</v>
      </c>
      <c r="G26" s="732">
        <f>ApIX!S19</f>
        <v>256.7</v>
      </c>
      <c r="H26" s="11"/>
      <c r="I26" s="363"/>
      <c r="J26" s="11">
        <f>ApXI!X19</f>
        <v>2</v>
      </c>
      <c r="K26" s="334">
        <f>ApXI!Y19</f>
        <v>145.4</v>
      </c>
      <c r="L26" s="11"/>
      <c r="M26" s="334"/>
      <c r="N26" s="154">
        <f t="shared" si="4"/>
        <v>7</v>
      </c>
      <c r="O26" s="372">
        <f t="shared" si="5"/>
        <v>1063</v>
      </c>
    </row>
    <row r="27" spans="1:15" ht="19.5" customHeight="1">
      <c r="A27" s="10" t="s">
        <v>220</v>
      </c>
      <c r="B27" s="11"/>
      <c r="C27" s="363"/>
      <c r="D27" s="11"/>
      <c r="E27" s="363"/>
      <c r="F27" s="15">
        <f>ApIX!R20</f>
        <v>1</v>
      </c>
      <c r="G27" s="732">
        <f>ApIX!S20</f>
        <v>159.2</v>
      </c>
      <c r="H27" s="11"/>
      <c r="I27" s="363"/>
      <c r="J27" s="13"/>
      <c r="K27" s="363"/>
      <c r="L27" s="11"/>
      <c r="M27" s="334"/>
      <c r="N27" s="154">
        <f t="shared" si="4"/>
        <v>1</v>
      </c>
      <c r="O27" s="372">
        <f t="shared" si="5"/>
        <v>159.2</v>
      </c>
    </row>
    <row r="28" spans="1:15" ht="19.5" customHeight="1">
      <c r="A28" s="10" t="s">
        <v>30</v>
      </c>
      <c r="B28" s="11">
        <f>ApIII!T28</f>
        <v>2</v>
      </c>
      <c r="C28" s="334">
        <f>ApIII!U28</f>
        <v>203.6</v>
      </c>
      <c r="D28" s="11">
        <f>ApVI!R18</f>
        <v>5</v>
      </c>
      <c r="E28" s="334">
        <f>ApVI!S18</f>
        <v>1156.8000000000002</v>
      </c>
      <c r="F28" s="15">
        <f>ApIX!R21</f>
        <v>1</v>
      </c>
      <c r="G28" s="732">
        <f>ApIX!S21</f>
        <v>121</v>
      </c>
      <c r="H28" s="11"/>
      <c r="I28" s="363"/>
      <c r="J28" s="11">
        <f>ApXI!X20</f>
        <v>3</v>
      </c>
      <c r="K28" s="334">
        <f>ApXI!Y20</f>
        <v>218.1</v>
      </c>
      <c r="L28" s="11"/>
      <c r="M28" s="11"/>
      <c r="N28" s="154">
        <f t="shared" si="4"/>
        <v>11</v>
      </c>
      <c r="O28" s="372">
        <f t="shared" si="5"/>
        <v>1699.5</v>
      </c>
    </row>
    <row r="29" spans="1:15" ht="19.5" customHeight="1">
      <c r="A29" s="10" t="s">
        <v>201</v>
      </c>
      <c r="B29" s="11">
        <f>ApIII!T29</f>
        <v>7</v>
      </c>
      <c r="C29" s="334">
        <f>ApIII!U29</f>
        <v>761.9</v>
      </c>
      <c r="D29" s="11"/>
      <c r="E29" s="363"/>
      <c r="F29" s="15">
        <f>ApIX!R22</f>
        <v>4</v>
      </c>
      <c r="G29" s="732">
        <f>ApIX!S22</f>
        <v>596.8</v>
      </c>
      <c r="H29" s="11"/>
      <c r="I29" s="363"/>
      <c r="J29" s="11">
        <f>ApXI!X21</f>
        <v>10</v>
      </c>
      <c r="K29" s="334">
        <f>ApXI!Y21</f>
        <v>486.2</v>
      </c>
      <c r="L29" s="11"/>
      <c r="M29" s="11"/>
      <c r="N29" s="154">
        <f t="shared" si="4"/>
        <v>21</v>
      </c>
      <c r="O29" s="372">
        <f t="shared" si="5"/>
        <v>1844.8999999999999</v>
      </c>
    </row>
    <row r="30" spans="1:15" s="228" customFormat="1" ht="19.5" customHeight="1">
      <c r="A30" s="10" t="s">
        <v>31</v>
      </c>
      <c r="B30" s="11">
        <f>ApIII!T30</f>
        <v>8</v>
      </c>
      <c r="C30" s="334">
        <f>ApIII!U30</f>
        <v>331.1</v>
      </c>
      <c r="D30" s="12">
        <f>ApVI!R19</f>
        <v>6</v>
      </c>
      <c r="E30" s="358">
        <f>ApVI!S19</f>
        <v>2383.2</v>
      </c>
      <c r="F30" s="15">
        <f>ApIX!R23</f>
        <v>7</v>
      </c>
      <c r="G30" s="732">
        <f>ApIX!S23</f>
        <v>545.4</v>
      </c>
      <c r="H30" s="11"/>
      <c r="I30" s="363"/>
      <c r="J30" s="11">
        <f>ApXI!X22</f>
        <v>4</v>
      </c>
      <c r="K30" s="334">
        <f>ApXI!Y22</f>
        <v>388.5</v>
      </c>
      <c r="L30" s="11"/>
      <c r="M30" s="334"/>
      <c r="N30" s="154">
        <f t="shared" si="4"/>
        <v>25</v>
      </c>
      <c r="O30" s="372">
        <f t="shared" si="5"/>
        <v>3648.2</v>
      </c>
    </row>
    <row r="31" spans="1:15" s="228" customFormat="1" ht="19.5" customHeight="1">
      <c r="A31" s="10" t="s">
        <v>411</v>
      </c>
      <c r="B31" s="11">
        <f>ApIII!T31</f>
        <v>2</v>
      </c>
      <c r="C31" s="334">
        <f>ApIII!U31</f>
        <v>112.4</v>
      </c>
      <c r="D31" s="12"/>
      <c r="E31" s="358"/>
      <c r="F31" s="15"/>
      <c r="G31" s="732"/>
      <c r="H31" s="11"/>
      <c r="I31" s="363"/>
      <c r="J31" s="13"/>
      <c r="K31" s="13"/>
      <c r="L31" s="11"/>
      <c r="M31" s="334"/>
      <c r="N31" s="154">
        <f t="shared" si="4"/>
        <v>2</v>
      </c>
      <c r="O31" s="372">
        <f t="shared" si="5"/>
        <v>112.4</v>
      </c>
    </row>
    <row r="32" spans="1:15" ht="21.75" customHeight="1">
      <c r="A32" s="384" t="s">
        <v>32</v>
      </c>
      <c r="B32" s="399"/>
      <c r="C32" s="386"/>
      <c r="D32" s="390"/>
      <c r="E32" s="386"/>
      <c r="F32" s="388"/>
      <c r="G32" s="389"/>
      <c r="H32" s="390"/>
      <c r="I32" s="386"/>
      <c r="J32" s="385"/>
      <c r="K32" s="386"/>
      <c r="L32" s="390"/>
      <c r="M32" s="390"/>
      <c r="N32" s="400"/>
      <c r="O32" s="401"/>
    </row>
    <row r="33" spans="1:15" ht="21.75" customHeight="1">
      <c r="A33" s="10" t="s">
        <v>167</v>
      </c>
      <c r="B33" s="11">
        <f>ApIII!T33</f>
        <v>1</v>
      </c>
      <c r="C33" s="334">
        <f>ApIII!U33</f>
        <v>192.2</v>
      </c>
      <c r="D33" s="11"/>
      <c r="E33" s="363"/>
      <c r="F33" s="11">
        <f>ApIX!R26</f>
        <v>4</v>
      </c>
      <c r="G33" s="334">
        <f>ApIX!S26</f>
        <v>967.8</v>
      </c>
      <c r="H33" s="11"/>
      <c r="I33" s="363"/>
      <c r="J33" s="11"/>
      <c r="K33" s="363"/>
      <c r="L33" s="11"/>
      <c r="M33" s="11"/>
      <c r="N33" s="154">
        <f aca="true" t="shared" si="6" ref="N33:O35">SUM(B33,D33,F33,H33,J33,L33)</f>
        <v>5</v>
      </c>
      <c r="O33" s="372">
        <f t="shared" si="6"/>
        <v>1160</v>
      </c>
    </row>
    <row r="34" spans="1:15" ht="19.5" customHeight="1">
      <c r="A34" s="10" t="s">
        <v>135</v>
      </c>
      <c r="B34" s="11">
        <f>ApIII!T34</f>
        <v>19</v>
      </c>
      <c r="C34" s="334">
        <f>ApIII!U34</f>
        <v>3682.4</v>
      </c>
      <c r="D34" s="11">
        <f>ApVI!R21</f>
        <v>1</v>
      </c>
      <c r="E34" s="334">
        <f>ApVI!S21</f>
        <v>791.7</v>
      </c>
      <c r="F34" s="11">
        <f>ApIX!R27</f>
        <v>5</v>
      </c>
      <c r="G34" s="334">
        <f>ApIX!S27</f>
        <v>1181.1999999999998</v>
      </c>
      <c r="H34" s="11"/>
      <c r="I34" s="363"/>
      <c r="J34" s="11">
        <f>ApXI!X24</f>
        <v>2</v>
      </c>
      <c r="K34" s="334">
        <f>ApXI!Y24</f>
        <v>245.60000000000002</v>
      </c>
      <c r="L34" s="11"/>
      <c r="M34" s="11"/>
      <c r="N34" s="154">
        <f t="shared" si="6"/>
        <v>27</v>
      </c>
      <c r="O34" s="372">
        <f t="shared" si="6"/>
        <v>5900.900000000001</v>
      </c>
    </row>
    <row r="35" spans="1:15" ht="19.5" customHeight="1">
      <c r="A35" s="10" t="s">
        <v>342</v>
      </c>
      <c r="B35" s="11">
        <f>ApIII!T35</f>
        <v>3</v>
      </c>
      <c r="C35" s="334">
        <f>ApIII!U35</f>
        <v>726</v>
      </c>
      <c r="D35" s="11"/>
      <c r="E35" s="363"/>
      <c r="F35" s="11"/>
      <c r="G35" s="334"/>
      <c r="H35" s="11"/>
      <c r="I35" s="363"/>
      <c r="J35" s="11"/>
      <c r="K35" s="334"/>
      <c r="L35" s="11"/>
      <c r="M35" s="11"/>
      <c r="N35" s="154">
        <f t="shared" si="6"/>
        <v>3</v>
      </c>
      <c r="O35" s="372">
        <f t="shared" si="6"/>
        <v>726</v>
      </c>
    </row>
    <row r="36" spans="1:15" ht="19.5" customHeight="1">
      <c r="A36" s="10" t="s">
        <v>412</v>
      </c>
      <c r="B36" s="11">
        <f>ApIII!T36</f>
        <v>4</v>
      </c>
      <c r="C36" s="334">
        <f>ApIII!U36</f>
        <v>867.6</v>
      </c>
      <c r="D36" s="11"/>
      <c r="E36" s="363"/>
      <c r="F36" s="11"/>
      <c r="G36" s="334"/>
      <c r="H36" s="11"/>
      <c r="I36" s="363"/>
      <c r="J36" s="11"/>
      <c r="K36" s="334"/>
      <c r="L36" s="11"/>
      <c r="M36" s="11"/>
      <c r="N36" s="154">
        <f aca="true" t="shared" si="7" ref="N36:O43">SUM(B36,D36,F36,H36,J36,L36)</f>
        <v>4</v>
      </c>
      <c r="O36" s="372">
        <f t="shared" si="7"/>
        <v>867.6</v>
      </c>
    </row>
    <row r="37" spans="1:15" ht="19.5" customHeight="1">
      <c r="A37" s="10" t="s">
        <v>413</v>
      </c>
      <c r="B37" s="11">
        <f>ApIII!T37</f>
        <v>3</v>
      </c>
      <c r="C37" s="334">
        <f>ApIII!U37</f>
        <v>758.4</v>
      </c>
      <c r="D37" s="11"/>
      <c r="E37" s="363"/>
      <c r="F37" s="11"/>
      <c r="G37" s="334"/>
      <c r="H37" s="11"/>
      <c r="I37" s="363"/>
      <c r="J37" s="11"/>
      <c r="K37" s="334"/>
      <c r="L37" s="11"/>
      <c r="M37" s="11"/>
      <c r="N37" s="154">
        <f t="shared" si="7"/>
        <v>3</v>
      </c>
      <c r="O37" s="372">
        <f t="shared" si="7"/>
        <v>758.4</v>
      </c>
    </row>
    <row r="38" spans="1:15" ht="19.5" customHeight="1">
      <c r="A38" s="10" t="s">
        <v>526</v>
      </c>
      <c r="B38" s="11">
        <f>ApIII!T38</f>
        <v>11</v>
      </c>
      <c r="C38" s="334">
        <f>ApIII!U38</f>
        <v>2435.9</v>
      </c>
      <c r="D38" s="11"/>
      <c r="E38" s="363"/>
      <c r="F38" s="11">
        <f>ApIX!R28</f>
        <v>1</v>
      </c>
      <c r="G38" s="334">
        <f>ApIX!S28</f>
        <v>200.6</v>
      </c>
      <c r="H38" s="11"/>
      <c r="I38" s="363"/>
      <c r="J38" s="11"/>
      <c r="K38" s="334"/>
      <c r="L38" s="11"/>
      <c r="M38" s="11"/>
      <c r="N38" s="154">
        <f t="shared" si="7"/>
        <v>12</v>
      </c>
      <c r="O38" s="372">
        <f t="shared" si="7"/>
        <v>2636.5</v>
      </c>
    </row>
    <row r="39" spans="1:15" ht="19.5" customHeight="1">
      <c r="A39" s="10" t="s">
        <v>414</v>
      </c>
      <c r="B39" s="11">
        <f>ApIII!T39</f>
        <v>1</v>
      </c>
      <c r="C39" s="334">
        <f>ApIII!U39</f>
        <v>143.6</v>
      </c>
      <c r="D39" s="11"/>
      <c r="E39" s="363"/>
      <c r="F39" s="11">
        <f>ApIX!R29</f>
        <v>1</v>
      </c>
      <c r="G39" s="334">
        <f>ApIX!S29</f>
        <v>167.9</v>
      </c>
      <c r="H39" s="11"/>
      <c r="I39" s="363"/>
      <c r="J39" s="11"/>
      <c r="K39" s="334"/>
      <c r="L39" s="11"/>
      <c r="M39" s="11"/>
      <c r="N39" s="154">
        <f t="shared" si="7"/>
        <v>2</v>
      </c>
      <c r="O39" s="372">
        <f t="shared" si="7"/>
        <v>311.5</v>
      </c>
    </row>
    <row r="40" spans="1:15" ht="19.5" customHeight="1">
      <c r="A40" s="10" t="s">
        <v>214</v>
      </c>
      <c r="B40" s="11">
        <f>ApIII!T40</f>
        <v>8</v>
      </c>
      <c r="C40" s="334">
        <f>ApIII!U40</f>
        <v>1448.8</v>
      </c>
      <c r="D40" s="11"/>
      <c r="E40" s="363"/>
      <c r="F40" s="11">
        <f>ApIX!R30</f>
        <v>1</v>
      </c>
      <c r="G40" s="334">
        <f>ApIX!S30</f>
        <v>161.5</v>
      </c>
      <c r="H40" s="11"/>
      <c r="I40" s="363"/>
      <c r="J40" s="11"/>
      <c r="K40" s="334"/>
      <c r="L40" s="11"/>
      <c r="M40" s="11"/>
      <c r="N40" s="154">
        <f t="shared" si="7"/>
        <v>9</v>
      </c>
      <c r="O40" s="372">
        <f t="shared" si="7"/>
        <v>1610.3</v>
      </c>
    </row>
    <row r="41" spans="1:15" ht="19.5" customHeight="1">
      <c r="A41" s="10" t="s">
        <v>351</v>
      </c>
      <c r="B41" s="11">
        <f>ApIII!T41</f>
        <v>2</v>
      </c>
      <c r="C41" s="334">
        <f>ApIII!U41</f>
        <v>418.6</v>
      </c>
      <c r="D41" s="11"/>
      <c r="E41" s="363"/>
      <c r="F41" s="11">
        <f>ApIX!R31</f>
        <v>4</v>
      </c>
      <c r="G41" s="334">
        <f>ApIX!S31</f>
        <v>863</v>
      </c>
      <c r="H41" s="11"/>
      <c r="I41" s="363"/>
      <c r="J41" s="11"/>
      <c r="K41" s="334"/>
      <c r="L41" s="11"/>
      <c r="M41" s="11"/>
      <c r="N41" s="154">
        <f t="shared" si="7"/>
        <v>6</v>
      </c>
      <c r="O41" s="372">
        <f t="shared" si="7"/>
        <v>1281.6</v>
      </c>
    </row>
    <row r="42" spans="1:15" ht="19.5" customHeight="1">
      <c r="A42" s="10" t="s">
        <v>341</v>
      </c>
      <c r="B42" s="11">
        <f>ApIII!T42</f>
        <v>5</v>
      </c>
      <c r="C42" s="334">
        <f>ApIII!U42</f>
        <v>1605.4</v>
      </c>
      <c r="D42" s="11"/>
      <c r="E42" s="363"/>
      <c r="F42" s="11">
        <f>ApIX!R32</f>
        <v>9</v>
      </c>
      <c r="G42" s="334">
        <f>ApIX!S32</f>
        <v>1815.8999999999999</v>
      </c>
      <c r="H42" s="11"/>
      <c r="I42" s="363"/>
      <c r="J42" s="11"/>
      <c r="K42" s="334"/>
      <c r="L42" s="11"/>
      <c r="M42" s="11"/>
      <c r="N42" s="154">
        <f t="shared" si="7"/>
        <v>14</v>
      </c>
      <c r="O42" s="372">
        <f t="shared" si="7"/>
        <v>3421.3</v>
      </c>
    </row>
    <row r="43" spans="1:15" ht="19.5" customHeight="1">
      <c r="A43" s="10" t="s">
        <v>262</v>
      </c>
      <c r="B43" s="11">
        <f>ApIII!T43</f>
        <v>1</v>
      </c>
      <c r="C43" s="334">
        <f>ApIII!U43</f>
        <v>160.9</v>
      </c>
      <c r="D43" s="11">
        <f>ApVI!R22</f>
        <v>0</v>
      </c>
      <c r="E43" s="334">
        <f>ApVI!S22</f>
        <v>836</v>
      </c>
      <c r="F43" s="11"/>
      <c r="G43" s="334"/>
      <c r="H43" s="11"/>
      <c r="I43" s="363"/>
      <c r="J43" s="11"/>
      <c r="K43" s="334"/>
      <c r="L43" s="11"/>
      <c r="M43" s="11"/>
      <c r="N43" s="154">
        <f t="shared" si="7"/>
        <v>1</v>
      </c>
      <c r="O43" s="372">
        <f t="shared" si="7"/>
        <v>996.9</v>
      </c>
    </row>
    <row r="44" spans="1:15" ht="21.75" customHeight="1">
      <c r="A44" s="391" t="s">
        <v>62</v>
      </c>
      <c r="B44" s="404"/>
      <c r="C44" s="395"/>
      <c r="D44" s="404"/>
      <c r="E44" s="395"/>
      <c r="F44" s="392"/>
      <c r="G44" s="395"/>
      <c r="H44" s="394"/>
      <c r="I44" s="393"/>
      <c r="J44" s="405"/>
      <c r="K44" s="395"/>
      <c r="L44" s="404"/>
      <c r="M44" s="404"/>
      <c r="N44" s="397" t="s">
        <v>390</v>
      </c>
      <c r="O44" s="398"/>
    </row>
    <row r="45" spans="1:15" ht="19.5" customHeight="1">
      <c r="A45" s="890" t="s">
        <v>417</v>
      </c>
      <c r="B45" s="11"/>
      <c r="C45" s="334"/>
      <c r="D45" s="11"/>
      <c r="E45" s="334"/>
      <c r="F45" s="11">
        <f>ApIX!R34</f>
        <v>1</v>
      </c>
      <c r="G45" s="334">
        <f>ApIX!S34</f>
        <v>218.4</v>
      </c>
      <c r="H45" s="11"/>
      <c r="I45" s="363"/>
      <c r="J45" s="11">
        <f>ApXI!X26</f>
        <v>11</v>
      </c>
      <c r="K45" s="334">
        <f>ApXI!Y26</f>
        <v>1642</v>
      </c>
      <c r="L45" s="11"/>
      <c r="M45" s="11"/>
      <c r="N45" s="154">
        <f aca="true" t="shared" si="8" ref="N45:N77">SUM(B45,D45,F45,H45,J45,L45)</f>
        <v>12</v>
      </c>
      <c r="O45" s="372">
        <f aca="true" t="shared" si="9" ref="O45:O77">SUM(C45,E45,G45,I45,K45,M45)</f>
        <v>1860.4</v>
      </c>
    </row>
    <row r="46" spans="1:15" ht="19.5" customHeight="1">
      <c r="A46" s="890" t="s">
        <v>144</v>
      </c>
      <c r="B46" s="11">
        <f>ApIII!T45</f>
        <v>2</v>
      </c>
      <c r="C46" s="334">
        <f>ApIII!U45</f>
        <v>270.8</v>
      </c>
      <c r="D46" s="11">
        <f>ApVI!R24</f>
        <v>0</v>
      </c>
      <c r="E46" s="334">
        <f>ApVI!S24</f>
        <v>295.3</v>
      </c>
      <c r="F46" s="11">
        <f>ApIX!R35</f>
        <v>4</v>
      </c>
      <c r="G46" s="334">
        <f>ApIX!S35</f>
        <v>717.7</v>
      </c>
      <c r="H46" s="11"/>
      <c r="I46" s="363"/>
      <c r="J46" s="11"/>
      <c r="K46" s="334"/>
      <c r="L46" s="11"/>
      <c r="M46" s="11"/>
      <c r="N46" s="154">
        <f t="shared" si="8"/>
        <v>6</v>
      </c>
      <c r="O46" s="372">
        <f t="shared" si="9"/>
        <v>1283.8000000000002</v>
      </c>
    </row>
    <row r="47" spans="1:15" ht="19.5" customHeight="1">
      <c r="A47" s="890" t="s">
        <v>586</v>
      </c>
      <c r="B47" s="11">
        <f>ApIII!T46</f>
        <v>1</v>
      </c>
      <c r="C47" s="334">
        <f>ApIII!U46</f>
        <v>165</v>
      </c>
      <c r="D47" s="11"/>
      <c r="E47" s="363"/>
      <c r="F47" s="11"/>
      <c r="G47" s="334"/>
      <c r="H47" s="11"/>
      <c r="I47" s="363"/>
      <c r="J47" s="11"/>
      <c r="K47" s="334"/>
      <c r="L47" s="11"/>
      <c r="M47" s="11"/>
      <c r="N47" s="154">
        <f t="shared" si="8"/>
        <v>1</v>
      </c>
      <c r="O47" s="372">
        <f t="shared" si="9"/>
        <v>165</v>
      </c>
    </row>
    <row r="48" spans="1:15" ht="19.5" customHeight="1">
      <c r="A48" s="890" t="s">
        <v>345</v>
      </c>
      <c r="B48" s="11">
        <f>ApIII!T47</f>
        <v>5</v>
      </c>
      <c r="C48" s="334">
        <f>ApIII!U47</f>
        <v>744.6</v>
      </c>
      <c r="D48" s="11">
        <f>ApVI!R25</f>
        <v>2</v>
      </c>
      <c r="E48" s="334">
        <f>ApVI!S25</f>
        <v>899.0999999999999</v>
      </c>
      <c r="F48" s="11"/>
      <c r="G48" s="334"/>
      <c r="H48" s="11"/>
      <c r="I48" s="363"/>
      <c r="J48" s="11"/>
      <c r="K48" s="363"/>
      <c r="L48" s="11"/>
      <c r="M48" s="11"/>
      <c r="N48" s="154">
        <f t="shared" si="8"/>
        <v>7</v>
      </c>
      <c r="O48" s="372">
        <f t="shared" si="9"/>
        <v>1643.6999999999998</v>
      </c>
    </row>
    <row r="49" spans="1:15" ht="19.5" customHeight="1">
      <c r="A49" s="890" t="s">
        <v>354</v>
      </c>
      <c r="B49" s="11">
        <f>ApIII!T48</f>
        <v>6</v>
      </c>
      <c r="C49" s="334">
        <f>ApIII!U48</f>
        <v>941.4</v>
      </c>
      <c r="D49" s="11"/>
      <c r="E49" s="363"/>
      <c r="F49" s="11">
        <f>ApIX!R36</f>
        <v>1</v>
      </c>
      <c r="G49" s="334">
        <f>ApIX!S36</f>
        <v>181.4</v>
      </c>
      <c r="H49" s="11"/>
      <c r="I49" s="363"/>
      <c r="J49" s="11"/>
      <c r="K49" s="334"/>
      <c r="L49" s="11"/>
      <c r="M49" s="11"/>
      <c r="N49" s="154">
        <f t="shared" si="8"/>
        <v>7</v>
      </c>
      <c r="O49" s="372">
        <f t="shared" si="9"/>
        <v>1122.8</v>
      </c>
    </row>
    <row r="50" spans="1:15" ht="19.5" customHeight="1">
      <c r="A50" s="890" t="s">
        <v>587</v>
      </c>
      <c r="B50" s="11">
        <f>ApIII!T49</f>
        <v>3</v>
      </c>
      <c r="C50" s="334">
        <f>ApIII!U49</f>
        <v>430.6</v>
      </c>
      <c r="D50" s="11"/>
      <c r="E50" s="363"/>
      <c r="F50" s="11"/>
      <c r="G50" s="334"/>
      <c r="H50" s="11"/>
      <c r="I50" s="363"/>
      <c r="J50" s="11">
        <f>ApXI!X27</f>
        <v>7</v>
      </c>
      <c r="K50" s="334">
        <f>ApXI!Y27</f>
        <v>1030</v>
      </c>
      <c r="L50" s="11"/>
      <c r="M50" s="11"/>
      <c r="N50" s="154">
        <f>SUM(B50,D50,F50,H50,J50,L50)</f>
        <v>10</v>
      </c>
      <c r="O50" s="372">
        <f>SUM(C50,E50,G50,I50,K50,M50)</f>
        <v>1460.6</v>
      </c>
    </row>
    <row r="51" spans="1:15" ht="19.5" customHeight="1">
      <c r="A51" s="890" t="s">
        <v>376</v>
      </c>
      <c r="B51" s="11"/>
      <c r="C51" s="334"/>
      <c r="D51" s="11"/>
      <c r="E51" s="363"/>
      <c r="F51" s="11"/>
      <c r="G51" s="334"/>
      <c r="H51" s="11"/>
      <c r="I51" s="363"/>
      <c r="J51" s="11">
        <f>ApXI!X28</f>
        <v>4</v>
      </c>
      <c r="K51" s="334">
        <f>ApXI!Y28</f>
        <v>1215.1999999999998</v>
      </c>
      <c r="L51" s="11"/>
      <c r="M51" s="11"/>
      <c r="N51" s="154">
        <f t="shared" si="8"/>
        <v>4</v>
      </c>
      <c r="O51" s="372">
        <f t="shared" si="9"/>
        <v>1215.1999999999998</v>
      </c>
    </row>
    <row r="52" spans="1:15" ht="19.5" customHeight="1">
      <c r="A52" s="890" t="s">
        <v>35</v>
      </c>
      <c r="B52" s="11">
        <f>ApIII!T50</f>
        <v>4</v>
      </c>
      <c r="C52" s="334">
        <f>ApIII!U50</f>
        <v>578.3</v>
      </c>
      <c r="D52" s="11"/>
      <c r="E52" s="363"/>
      <c r="F52" s="11">
        <f>ApIX!R37</f>
        <v>15</v>
      </c>
      <c r="G52" s="334">
        <f>ApIX!S37</f>
        <v>1987.3</v>
      </c>
      <c r="H52" s="11"/>
      <c r="I52" s="363"/>
      <c r="J52" s="11"/>
      <c r="K52" s="363"/>
      <c r="L52" s="11"/>
      <c r="M52" s="11"/>
      <c r="N52" s="154">
        <f t="shared" si="8"/>
        <v>19</v>
      </c>
      <c r="O52" s="372">
        <f t="shared" si="9"/>
        <v>2565.6</v>
      </c>
    </row>
    <row r="53" spans="1:15" ht="19.5" customHeight="1">
      <c r="A53" s="891" t="s">
        <v>261</v>
      </c>
      <c r="B53" s="11">
        <f>ApIII!T51</f>
        <v>0</v>
      </c>
      <c r="C53" s="334">
        <f>ApIII!U51</f>
        <v>195.8</v>
      </c>
      <c r="D53" s="11">
        <f>ApVI!R26</f>
        <v>8</v>
      </c>
      <c r="E53" s="334">
        <f>ApVI!S26</f>
        <v>4946.9</v>
      </c>
      <c r="F53" s="11"/>
      <c r="G53" s="334"/>
      <c r="H53" s="11"/>
      <c r="I53" s="363"/>
      <c r="J53" s="11"/>
      <c r="K53" s="334"/>
      <c r="L53" s="11"/>
      <c r="M53" s="11"/>
      <c r="N53" s="154">
        <f t="shared" si="8"/>
        <v>8</v>
      </c>
      <c r="O53" s="372">
        <f t="shared" si="9"/>
        <v>5142.7</v>
      </c>
    </row>
    <row r="54" spans="1:15" ht="19.5" customHeight="1">
      <c r="A54" s="10" t="s">
        <v>168</v>
      </c>
      <c r="B54" s="11"/>
      <c r="C54" s="363"/>
      <c r="D54" s="11"/>
      <c r="E54" s="334"/>
      <c r="F54" s="11">
        <f>ApIX!R38</f>
        <v>1</v>
      </c>
      <c r="G54" s="334">
        <f>ApIX!S38</f>
        <v>183.1</v>
      </c>
      <c r="H54" s="11"/>
      <c r="I54" s="363"/>
      <c r="J54" s="11"/>
      <c r="K54" s="334"/>
      <c r="L54" s="11"/>
      <c r="M54" s="11"/>
      <c r="N54" s="154">
        <f t="shared" si="8"/>
        <v>1</v>
      </c>
      <c r="O54" s="372">
        <f t="shared" si="9"/>
        <v>183.1</v>
      </c>
    </row>
    <row r="55" spans="1:15" ht="19.5" customHeight="1">
      <c r="A55" s="10" t="s">
        <v>36</v>
      </c>
      <c r="B55" s="11">
        <f>ApIII!T52</f>
        <v>4</v>
      </c>
      <c r="C55" s="334">
        <f>ApIII!U52</f>
        <v>886.2</v>
      </c>
      <c r="D55" s="11">
        <f>ApVI!R27</f>
        <v>0</v>
      </c>
      <c r="E55" s="334">
        <f>ApVI!S27</f>
        <v>795.5</v>
      </c>
      <c r="F55" s="11"/>
      <c r="G55" s="334"/>
      <c r="H55" s="11"/>
      <c r="I55" s="363"/>
      <c r="J55" s="11"/>
      <c r="K55" s="334"/>
      <c r="L55" s="11"/>
      <c r="M55" s="11"/>
      <c r="N55" s="154">
        <f t="shared" si="8"/>
        <v>4</v>
      </c>
      <c r="O55" s="372">
        <f t="shared" si="9"/>
        <v>1681.7</v>
      </c>
    </row>
    <row r="56" spans="1:15" ht="19.5" customHeight="1">
      <c r="A56" s="10" t="s">
        <v>273</v>
      </c>
      <c r="B56" s="11"/>
      <c r="C56" s="334"/>
      <c r="D56" s="11">
        <f>ApVI!R28</f>
        <v>0</v>
      </c>
      <c r="E56" s="334">
        <f>ApVI!S28</f>
        <v>195.6</v>
      </c>
      <c r="F56" s="11">
        <f>ApIX!R39</f>
        <v>3</v>
      </c>
      <c r="G56" s="334">
        <f>ApIX!S39</f>
        <v>508.3</v>
      </c>
      <c r="H56" s="11"/>
      <c r="I56" s="363"/>
      <c r="J56" s="11"/>
      <c r="K56" s="334"/>
      <c r="L56" s="11"/>
      <c r="M56" s="11"/>
      <c r="N56" s="154">
        <f t="shared" si="8"/>
        <v>3</v>
      </c>
      <c r="O56" s="372">
        <f t="shared" si="9"/>
        <v>703.9</v>
      </c>
    </row>
    <row r="57" spans="1:15" ht="19.5" customHeight="1">
      <c r="A57" s="10" t="s">
        <v>200</v>
      </c>
      <c r="B57" s="11">
        <f>ApIII!T53</f>
        <v>5</v>
      </c>
      <c r="C57" s="334">
        <f>ApIII!U53</f>
        <v>821.9000000000001</v>
      </c>
      <c r="D57" s="11"/>
      <c r="E57" s="334"/>
      <c r="F57" s="11">
        <f>ApIX!R40</f>
        <v>4</v>
      </c>
      <c r="G57" s="334">
        <f>ApIX!S40</f>
        <v>831.2</v>
      </c>
      <c r="H57" s="11"/>
      <c r="I57" s="363"/>
      <c r="J57" s="11">
        <f>ApXI!X29</f>
        <v>8</v>
      </c>
      <c r="K57" s="334">
        <f>ApXI!Y29</f>
        <v>1079.5</v>
      </c>
      <c r="L57" s="11"/>
      <c r="M57" s="11"/>
      <c r="N57" s="154">
        <f t="shared" si="8"/>
        <v>17</v>
      </c>
      <c r="O57" s="372">
        <f t="shared" si="9"/>
        <v>2732.6000000000004</v>
      </c>
    </row>
    <row r="58" spans="1:15" ht="19.5" customHeight="1">
      <c r="A58" s="10" t="s">
        <v>588</v>
      </c>
      <c r="B58" s="11">
        <f>ApIII!T54</f>
        <v>1</v>
      </c>
      <c r="C58" s="334">
        <f>ApIII!U54</f>
        <v>165</v>
      </c>
      <c r="D58" s="11"/>
      <c r="E58" s="334"/>
      <c r="F58" s="11"/>
      <c r="G58" s="334"/>
      <c r="H58" s="11"/>
      <c r="I58" s="363"/>
      <c r="J58" s="11"/>
      <c r="K58" s="334"/>
      <c r="L58" s="11"/>
      <c r="M58" s="11"/>
      <c r="N58" s="154">
        <f>SUM(B58,D58,F58,H58,J58,L58)</f>
        <v>1</v>
      </c>
      <c r="O58" s="372">
        <f>SUM(C58,E58,G58,I58,K58,M58)</f>
        <v>165</v>
      </c>
    </row>
    <row r="59" spans="1:15" ht="19.5" customHeight="1">
      <c r="A59" s="890" t="s">
        <v>37</v>
      </c>
      <c r="B59" s="11">
        <f>ApIII!T55</f>
        <v>12</v>
      </c>
      <c r="C59" s="334">
        <f>ApIII!U55</f>
        <v>1850.8</v>
      </c>
      <c r="D59" s="11">
        <f>ApVI!R30</f>
        <v>0</v>
      </c>
      <c r="E59" s="334">
        <f>ApVI!S30</f>
        <v>486.9</v>
      </c>
      <c r="F59" s="11"/>
      <c r="G59" s="334"/>
      <c r="H59" s="11"/>
      <c r="I59" s="363"/>
      <c r="J59" s="11"/>
      <c r="K59" s="11"/>
      <c r="L59" s="11"/>
      <c r="M59" s="11"/>
      <c r="N59" s="154">
        <f t="shared" si="8"/>
        <v>12</v>
      </c>
      <c r="O59" s="372">
        <f t="shared" si="9"/>
        <v>2337.7</v>
      </c>
    </row>
    <row r="60" spans="1:15" ht="19.5" customHeight="1">
      <c r="A60" s="890" t="s">
        <v>347</v>
      </c>
      <c r="B60" s="11">
        <f>ApIII!T56</f>
        <v>4</v>
      </c>
      <c r="C60" s="334">
        <f>ApIII!U56</f>
        <v>534.8</v>
      </c>
      <c r="D60" s="11">
        <f>ApVI!R31</f>
        <v>0</v>
      </c>
      <c r="E60" s="334">
        <f>ApVI!S31</f>
        <v>1359.9</v>
      </c>
      <c r="F60" s="11"/>
      <c r="G60" s="334"/>
      <c r="H60" s="11"/>
      <c r="I60" s="363"/>
      <c r="J60" s="11"/>
      <c r="K60" s="11"/>
      <c r="L60" s="11"/>
      <c r="M60" s="11"/>
      <c r="N60" s="154">
        <f t="shared" si="8"/>
        <v>4</v>
      </c>
      <c r="O60" s="372">
        <f t="shared" si="9"/>
        <v>1894.7</v>
      </c>
    </row>
    <row r="61" spans="1:15" ht="19.5" customHeight="1">
      <c r="A61" s="890" t="s">
        <v>422</v>
      </c>
      <c r="B61" s="11">
        <f>ApIII!T57</f>
        <v>2</v>
      </c>
      <c r="C61" s="334">
        <f>ApIII!U57</f>
        <v>474.3</v>
      </c>
      <c r="D61" s="11"/>
      <c r="E61" s="334"/>
      <c r="F61" s="11">
        <f>ApIX!R41</f>
        <v>3</v>
      </c>
      <c r="G61" s="334">
        <f>ApIX!S41</f>
        <v>679.3</v>
      </c>
      <c r="H61" s="11"/>
      <c r="I61" s="363"/>
      <c r="J61" s="11"/>
      <c r="K61" s="11"/>
      <c r="L61" s="11"/>
      <c r="M61" s="11"/>
      <c r="N61" s="154">
        <f t="shared" si="8"/>
        <v>5</v>
      </c>
      <c r="O61" s="372">
        <f t="shared" si="9"/>
        <v>1153.6</v>
      </c>
    </row>
    <row r="62" spans="1:15" ht="19.5" customHeight="1">
      <c r="A62" s="10" t="s">
        <v>38</v>
      </c>
      <c r="B62" s="11">
        <f>ApIII!T58</f>
        <v>8</v>
      </c>
      <c r="C62" s="334">
        <f>ApIII!U58</f>
        <v>1494.8000000000002</v>
      </c>
      <c r="D62" s="11"/>
      <c r="E62" s="363"/>
      <c r="G62" s="334"/>
      <c r="H62" s="11"/>
      <c r="I62" s="363"/>
      <c r="J62" s="11">
        <f>ApXI!X30</f>
        <v>11</v>
      </c>
      <c r="K62" s="334">
        <f>ApXI!Y30</f>
        <v>1631.4</v>
      </c>
      <c r="L62" s="11"/>
      <c r="M62" s="11"/>
      <c r="N62" s="154">
        <f t="shared" si="8"/>
        <v>19</v>
      </c>
      <c r="O62" s="372">
        <f t="shared" si="9"/>
        <v>3126.2000000000003</v>
      </c>
    </row>
    <row r="63" spans="1:16" ht="19.5" customHeight="1">
      <c r="A63" s="10" t="s">
        <v>39</v>
      </c>
      <c r="B63" s="11"/>
      <c r="C63" s="363"/>
      <c r="D63" s="11">
        <f>ApVI!R32</f>
        <v>0</v>
      </c>
      <c r="E63" s="334">
        <f>ApVI!S32</f>
        <v>2238.6</v>
      </c>
      <c r="F63" s="11">
        <f>ApIX!R42</f>
        <v>3</v>
      </c>
      <c r="G63" s="334">
        <f>ApIX!S42</f>
        <v>625.1</v>
      </c>
      <c r="H63" s="11"/>
      <c r="I63" s="363"/>
      <c r="J63" s="11"/>
      <c r="K63" s="363"/>
      <c r="L63" s="11"/>
      <c r="M63" s="11"/>
      <c r="N63" s="154">
        <f t="shared" si="8"/>
        <v>3</v>
      </c>
      <c r="O63" s="372">
        <f t="shared" si="9"/>
        <v>2863.7</v>
      </c>
      <c r="P63" s="976"/>
    </row>
    <row r="64" spans="1:16" ht="19.5" customHeight="1">
      <c r="A64" s="10" t="s">
        <v>424</v>
      </c>
      <c r="B64" s="11"/>
      <c r="C64" s="363"/>
      <c r="D64" s="11"/>
      <c r="E64" s="334"/>
      <c r="F64" s="11">
        <f>ApIX!R43</f>
        <v>6</v>
      </c>
      <c r="G64" s="334">
        <f>ApIX!S43</f>
        <v>1128.1</v>
      </c>
      <c r="H64" s="11"/>
      <c r="I64" s="363"/>
      <c r="J64" s="11">
        <f>ApXI!X31</f>
        <v>7</v>
      </c>
      <c r="K64" s="334">
        <f>ApXI!Y31</f>
        <v>1072.5</v>
      </c>
      <c r="L64" s="11"/>
      <c r="M64" s="11"/>
      <c r="N64" s="154">
        <f t="shared" si="8"/>
        <v>13</v>
      </c>
      <c r="O64" s="372">
        <f t="shared" si="9"/>
        <v>2200.6</v>
      </c>
      <c r="P64" s="976"/>
    </row>
    <row r="65" spans="1:15" ht="19.5" customHeight="1">
      <c r="A65" s="890" t="s">
        <v>40</v>
      </c>
      <c r="B65" s="11">
        <f>ApIII!T59</f>
        <v>4</v>
      </c>
      <c r="C65" s="334">
        <f>ApIII!U59</f>
        <v>559.2</v>
      </c>
      <c r="D65" s="11"/>
      <c r="E65" s="334"/>
      <c r="F65" s="11">
        <f>ApIX!R44</f>
        <v>2</v>
      </c>
      <c r="G65" s="334">
        <f>ApIX!S44</f>
        <v>296.9</v>
      </c>
      <c r="H65" s="11"/>
      <c r="I65" s="363"/>
      <c r="J65" s="11"/>
      <c r="K65" s="363"/>
      <c r="L65" s="11"/>
      <c r="M65" s="11"/>
      <c r="N65" s="154">
        <f t="shared" si="8"/>
        <v>6</v>
      </c>
      <c r="O65" s="372">
        <f t="shared" si="9"/>
        <v>856.1</v>
      </c>
    </row>
    <row r="66" spans="1:15" ht="19.5" customHeight="1">
      <c r="A66" s="890" t="s">
        <v>41</v>
      </c>
      <c r="B66" s="11">
        <f>ApIII!T60</f>
        <v>1</v>
      </c>
      <c r="C66" s="334">
        <f>ApIII!U60</f>
        <v>105.7</v>
      </c>
      <c r="D66" s="11"/>
      <c r="E66" s="363"/>
      <c r="F66" s="11">
        <f>ApIX!R45</f>
        <v>4</v>
      </c>
      <c r="G66" s="334">
        <f>ApIX!S45</f>
        <v>686.2</v>
      </c>
      <c r="H66" s="11"/>
      <c r="I66" s="363"/>
      <c r="J66" s="11"/>
      <c r="K66" s="363"/>
      <c r="L66" s="11"/>
      <c r="M66" s="11"/>
      <c r="N66" s="154">
        <f t="shared" si="8"/>
        <v>5</v>
      </c>
      <c r="O66" s="372">
        <f t="shared" si="9"/>
        <v>791.9000000000001</v>
      </c>
    </row>
    <row r="67" spans="1:15" ht="19.5" customHeight="1">
      <c r="A67" s="890" t="s">
        <v>42</v>
      </c>
      <c r="B67" s="11">
        <f>ApIII!T61</f>
        <v>7</v>
      </c>
      <c r="C67" s="334">
        <f>ApIII!U61</f>
        <v>2346</v>
      </c>
      <c r="D67" s="11"/>
      <c r="E67" s="363"/>
      <c r="F67" s="11">
        <f>ApIX!R46</f>
        <v>2</v>
      </c>
      <c r="G67" s="334">
        <f>ApIX!S46</f>
        <v>320.6</v>
      </c>
      <c r="H67" s="11"/>
      <c r="I67" s="363"/>
      <c r="J67" s="11"/>
      <c r="K67" s="334"/>
      <c r="L67" s="11"/>
      <c r="M67" s="11"/>
      <c r="N67" s="154">
        <f t="shared" si="8"/>
        <v>9</v>
      </c>
      <c r="O67" s="372">
        <f t="shared" si="9"/>
        <v>2666.6</v>
      </c>
    </row>
    <row r="68" spans="1:15" ht="19.5" customHeight="1">
      <c r="A68" s="890" t="s">
        <v>43</v>
      </c>
      <c r="B68" s="11"/>
      <c r="C68" s="363"/>
      <c r="D68" s="11">
        <f>ApVI!R33</f>
        <v>1</v>
      </c>
      <c r="E68" s="334">
        <f>ApVI!S33</f>
        <v>170.3</v>
      </c>
      <c r="F68" s="11">
        <f>ApIX!R47</f>
        <v>1</v>
      </c>
      <c r="G68" s="334">
        <f>ApIX!S47</f>
        <v>123.7</v>
      </c>
      <c r="H68" s="11"/>
      <c r="I68" s="363"/>
      <c r="J68" s="11"/>
      <c r="K68" s="334"/>
      <c r="L68" s="11"/>
      <c r="M68" s="11"/>
      <c r="N68" s="154">
        <f t="shared" si="8"/>
        <v>2</v>
      </c>
      <c r="O68" s="372">
        <f t="shared" si="9"/>
        <v>294</v>
      </c>
    </row>
    <row r="69" spans="1:15" ht="19.5" customHeight="1">
      <c r="A69" s="890" t="s">
        <v>427</v>
      </c>
      <c r="B69" s="11">
        <f>ApIII!T62</f>
        <v>1</v>
      </c>
      <c r="C69" s="334">
        <f>ApIII!U62</f>
        <v>165</v>
      </c>
      <c r="D69" s="11">
        <f>ApVI!R34</f>
        <v>2</v>
      </c>
      <c r="E69" s="334">
        <f>ApVI!S34</f>
        <v>258.4</v>
      </c>
      <c r="F69" s="11">
        <f>ApIX!R48</f>
        <v>2</v>
      </c>
      <c r="G69" s="334">
        <f>ApIX!S48</f>
        <v>360.6</v>
      </c>
      <c r="H69" s="11"/>
      <c r="I69" s="363"/>
      <c r="J69" s="11"/>
      <c r="K69" s="334"/>
      <c r="L69" s="11"/>
      <c r="M69" s="11"/>
      <c r="N69" s="154">
        <f t="shared" si="8"/>
        <v>5</v>
      </c>
      <c r="O69" s="372">
        <f t="shared" si="9"/>
        <v>784</v>
      </c>
    </row>
    <row r="70" spans="1:15" ht="19.5" customHeight="1">
      <c r="A70" s="890" t="s">
        <v>592</v>
      </c>
      <c r="B70" s="11">
        <f>ApIII!T63</f>
        <v>3</v>
      </c>
      <c r="C70" s="334">
        <f>ApIII!U63</f>
        <v>515</v>
      </c>
      <c r="D70" s="11"/>
      <c r="E70" s="363"/>
      <c r="F70" s="11"/>
      <c r="G70" s="334"/>
      <c r="H70" s="11"/>
      <c r="I70" s="363"/>
      <c r="J70" s="11"/>
      <c r="K70" s="334"/>
      <c r="L70" s="11"/>
      <c r="M70" s="11"/>
      <c r="N70" s="154">
        <f>SUM(B70,D70,F70,H70,J70,L70)</f>
        <v>3</v>
      </c>
      <c r="O70" s="372">
        <f>SUM(C70,E70,G70,I70,K70,M70)</f>
        <v>515</v>
      </c>
    </row>
    <row r="71" spans="1:15" ht="19.5" customHeight="1">
      <c r="A71" s="10" t="s">
        <v>44</v>
      </c>
      <c r="B71" s="11">
        <f>ApIII!T64</f>
        <v>10</v>
      </c>
      <c r="C71" s="334">
        <f>ApIII!U64</f>
        <v>3617.2</v>
      </c>
      <c r="D71" s="11"/>
      <c r="E71" s="363"/>
      <c r="F71" s="11"/>
      <c r="G71" s="334"/>
      <c r="H71" s="11"/>
      <c r="I71" s="363"/>
      <c r="J71" s="11"/>
      <c r="K71" s="334"/>
      <c r="L71" s="11"/>
      <c r="M71" s="11"/>
      <c r="N71" s="154">
        <f>SUM(B71,D71,F71,H71,J71,L71)</f>
        <v>10</v>
      </c>
      <c r="O71" s="372">
        <f>SUM(C71,E71,G71,I71,K71,M71)</f>
        <v>3617.2</v>
      </c>
    </row>
    <row r="72" spans="1:15" ht="19.5" customHeight="1">
      <c r="A72" s="10" t="s">
        <v>180</v>
      </c>
      <c r="B72" s="11">
        <f>ApIII!T65</f>
        <v>4</v>
      </c>
      <c r="C72" s="334">
        <f>ApIII!U65</f>
        <v>1690.1</v>
      </c>
      <c r="D72" s="11"/>
      <c r="E72" s="363"/>
      <c r="F72" s="11"/>
      <c r="G72" s="334"/>
      <c r="H72" s="11"/>
      <c r="I72" s="363"/>
      <c r="J72" s="11"/>
      <c r="K72" s="334"/>
      <c r="L72" s="11"/>
      <c r="M72" s="11"/>
      <c r="N72" s="154">
        <f t="shared" si="8"/>
        <v>4</v>
      </c>
      <c r="O72" s="372">
        <f t="shared" si="9"/>
        <v>1690.1</v>
      </c>
    </row>
    <row r="73" spans="1:15" ht="19.5" customHeight="1">
      <c r="A73" s="10" t="s">
        <v>527</v>
      </c>
      <c r="B73" s="11"/>
      <c r="C73" s="334"/>
      <c r="D73" s="11">
        <f>ApVI!R35</f>
        <v>6</v>
      </c>
      <c r="E73" s="334">
        <f>ApVI!S35</f>
        <v>1633.0000000000002</v>
      </c>
      <c r="F73" s="11">
        <f>ApIX!R49</f>
        <v>2</v>
      </c>
      <c r="G73" s="334">
        <f>ApIX!S49</f>
        <v>410.4</v>
      </c>
      <c r="H73" s="11"/>
      <c r="I73" s="363"/>
      <c r="J73" s="11"/>
      <c r="K73" s="334"/>
      <c r="L73" s="11"/>
      <c r="M73" s="11"/>
      <c r="N73" s="154">
        <f>SUM(B73,D73,F73,H73,J73,L73)</f>
        <v>8</v>
      </c>
      <c r="O73" s="372">
        <f>SUM(C73,E73,G73,I73,K73,M73)</f>
        <v>2043.4</v>
      </c>
    </row>
    <row r="74" spans="1:15" ht="19.5" customHeight="1">
      <c r="A74" s="890" t="s">
        <v>45</v>
      </c>
      <c r="B74" s="11">
        <f>ApIII!T66</f>
        <v>2</v>
      </c>
      <c r="C74" s="334">
        <f>ApIII!U66</f>
        <v>263.2</v>
      </c>
      <c r="D74" s="11">
        <f>ApVI!R36</f>
        <v>0</v>
      </c>
      <c r="E74" s="334">
        <f>ApVI!S36</f>
        <v>1079.1000000000001</v>
      </c>
      <c r="F74" s="11">
        <f>ApIX!R50</f>
        <v>2</v>
      </c>
      <c r="G74" s="334">
        <f>ApIX!S50</f>
        <v>277.3</v>
      </c>
      <c r="H74" s="11"/>
      <c r="I74" s="363"/>
      <c r="J74" s="11"/>
      <c r="K74" s="334"/>
      <c r="L74" s="11"/>
      <c r="M74" s="11"/>
      <c r="N74" s="154">
        <f t="shared" si="8"/>
        <v>4</v>
      </c>
      <c r="O74" s="372">
        <f t="shared" si="9"/>
        <v>1619.6000000000001</v>
      </c>
    </row>
    <row r="75" spans="1:15" ht="19.5" customHeight="1">
      <c r="A75" s="10" t="s">
        <v>142</v>
      </c>
      <c r="B75" s="11">
        <f>ApIII!T67</f>
        <v>0</v>
      </c>
      <c r="C75" s="334">
        <f>ApIII!U67</f>
        <v>583.2</v>
      </c>
      <c r="D75" s="11"/>
      <c r="E75" s="363"/>
      <c r="F75" s="11">
        <f>ApIX!R51</f>
        <v>1</v>
      </c>
      <c r="G75" s="334">
        <f>ApIX!S51</f>
        <v>137</v>
      </c>
      <c r="H75" s="11"/>
      <c r="I75" s="363"/>
      <c r="J75" s="11"/>
      <c r="K75" s="363"/>
      <c r="L75" s="11"/>
      <c r="M75" s="11"/>
      <c r="N75" s="154">
        <f t="shared" si="8"/>
        <v>1</v>
      </c>
      <c r="O75" s="372">
        <f t="shared" si="9"/>
        <v>720.2</v>
      </c>
    </row>
    <row r="76" spans="1:15" ht="19.5" customHeight="1">
      <c r="A76" s="10" t="s">
        <v>46</v>
      </c>
      <c r="B76" s="11">
        <f>ApIII!T68</f>
        <v>9</v>
      </c>
      <c r="C76" s="334">
        <f>ApIII!U68</f>
        <v>1493.9</v>
      </c>
      <c r="D76" s="334">
        <f>ApVI!R37</f>
        <v>0</v>
      </c>
      <c r="E76" s="334">
        <f>ApVI!S37</f>
        <v>2177.2</v>
      </c>
      <c r="F76" s="11"/>
      <c r="G76" s="334"/>
      <c r="H76" s="11"/>
      <c r="I76" s="363"/>
      <c r="J76" s="11"/>
      <c r="K76" s="334"/>
      <c r="L76" s="11"/>
      <c r="M76" s="11"/>
      <c r="N76" s="154">
        <f t="shared" si="8"/>
        <v>9</v>
      </c>
      <c r="O76" s="372">
        <f t="shared" si="9"/>
        <v>3671.1</v>
      </c>
    </row>
    <row r="77" spans="1:15" ht="19.5" customHeight="1">
      <c r="A77" s="10" t="s">
        <v>353</v>
      </c>
      <c r="B77" s="11">
        <f>ApIII!T69</f>
        <v>4</v>
      </c>
      <c r="C77" s="334">
        <f>ApIII!U69</f>
        <v>730.2</v>
      </c>
      <c r="D77" s="11"/>
      <c r="E77" s="334"/>
      <c r="F77" s="11">
        <f>ApIX!R52</f>
        <v>12</v>
      </c>
      <c r="G77" s="334">
        <f>ApIX!S52</f>
        <v>2456.3999999999996</v>
      </c>
      <c r="H77" s="11"/>
      <c r="I77" s="363"/>
      <c r="J77" s="11">
        <f>ApXI!X32</f>
        <v>4</v>
      </c>
      <c r="K77" s="334">
        <f>ApXI!Y32</f>
        <v>1215.1999999999998</v>
      </c>
      <c r="L77" s="11"/>
      <c r="M77" s="11"/>
      <c r="N77" s="154">
        <f t="shared" si="8"/>
        <v>20</v>
      </c>
      <c r="O77" s="372">
        <f t="shared" si="9"/>
        <v>4401.799999999999</v>
      </c>
    </row>
    <row r="78" spans="1:15" ht="19.5" customHeight="1">
      <c r="A78" s="10" t="s">
        <v>430</v>
      </c>
      <c r="B78" s="11"/>
      <c r="C78" s="363"/>
      <c r="D78" s="334"/>
      <c r="E78" s="334"/>
      <c r="F78" s="11">
        <f>ApIX!R53</f>
        <v>1</v>
      </c>
      <c r="G78" s="334">
        <f>ApIX!S53</f>
        <v>120.3</v>
      </c>
      <c r="H78" s="11"/>
      <c r="I78" s="363"/>
      <c r="J78" s="11"/>
      <c r="K78" s="334"/>
      <c r="L78" s="11"/>
      <c r="M78" s="11"/>
      <c r="N78" s="154">
        <f aca="true" t="shared" si="10" ref="N78:O81">SUM(B78,D78,F78,H78,J78,L78)</f>
        <v>1</v>
      </c>
      <c r="O78" s="372">
        <f t="shared" si="10"/>
        <v>120.3</v>
      </c>
    </row>
    <row r="79" spans="1:15" ht="18" customHeight="1">
      <c r="A79" s="10" t="s">
        <v>47</v>
      </c>
      <c r="B79" s="11">
        <f>ApIII!T70</f>
        <v>6</v>
      </c>
      <c r="C79" s="334">
        <f>ApIII!U70</f>
        <v>2771.6000000000004</v>
      </c>
      <c r="D79" s="334">
        <f>ApVI!R38</f>
        <v>0</v>
      </c>
      <c r="E79" s="334">
        <f>ApVI!S38</f>
        <v>461.1</v>
      </c>
      <c r="F79" s="11"/>
      <c r="G79" s="334"/>
      <c r="H79" s="11"/>
      <c r="I79" s="363"/>
      <c r="J79" s="11"/>
      <c r="K79" s="334"/>
      <c r="L79" s="11"/>
      <c r="M79" s="11"/>
      <c r="N79" s="154">
        <f t="shared" si="10"/>
        <v>6</v>
      </c>
      <c r="O79" s="372">
        <f t="shared" si="10"/>
        <v>3232.7000000000003</v>
      </c>
    </row>
    <row r="80" spans="1:15" s="228" customFormat="1" ht="18" customHeight="1">
      <c r="A80" s="10" t="s">
        <v>48</v>
      </c>
      <c r="B80" s="11"/>
      <c r="C80" s="363"/>
      <c r="D80" s="11"/>
      <c r="E80" s="363"/>
      <c r="F80" s="11">
        <f>ApIX!R54</f>
        <v>2</v>
      </c>
      <c r="G80" s="334">
        <f>ApIX!S54</f>
        <v>377.4</v>
      </c>
      <c r="H80" s="11"/>
      <c r="I80" s="363"/>
      <c r="J80" s="11"/>
      <c r="K80" s="363"/>
      <c r="L80" s="11"/>
      <c r="M80" s="11"/>
      <c r="N80" s="154">
        <f t="shared" si="10"/>
        <v>2</v>
      </c>
      <c r="O80" s="372">
        <f t="shared" si="10"/>
        <v>377.4</v>
      </c>
    </row>
    <row r="81" spans="1:15" s="228" customFormat="1" ht="18" customHeight="1">
      <c r="A81" s="10" t="s">
        <v>358</v>
      </c>
      <c r="B81" s="11">
        <f>ApIII!T71</f>
        <v>1</v>
      </c>
      <c r="C81" s="334">
        <f>ApIII!U71</f>
        <v>165</v>
      </c>
      <c r="D81" s="11"/>
      <c r="E81" s="363"/>
      <c r="F81" s="11">
        <f>ApIX!R55</f>
        <v>2</v>
      </c>
      <c r="G81" s="334">
        <f>ApIX!S55</f>
        <v>286.8</v>
      </c>
      <c r="H81" s="11"/>
      <c r="I81" s="363"/>
      <c r="J81" s="11"/>
      <c r="K81" s="363"/>
      <c r="L81" s="11"/>
      <c r="M81" s="11"/>
      <c r="N81" s="154">
        <f t="shared" si="10"/>
        <v>3</v>
      </c>
      <c r="O81" s="372">
        <f t="shared" si="10"/>
        <v>451.8</v>
      </c>
    </row>
    <row r="82" spans="1:15" ht="21.75" customHeight="1">
      <c r="A82" s="391" t="s">
        <v>128</v>
      </c>
      <c r="B82" s="404"/>
      <c r="C82" s="395"/>
      <c r="D82" s="404"/>
      <c r="E82" s="404"/>
      <c r="F82" s="404"/>
      <c r="G82" s="404"/>
      <c r="H82" s="404"/>
      <c r="I82" s="404"/>
      <c r="J82" s="404"/>
      <c r="K82" s="404"/>
      <c r="L82" s="404"/>
      <c r="M82" s="404"/>
      <c r="N82" s="397"/>
      <c r="O82" s="398"/>
    </row>
    <row r="83" spans="1:15" ht="19.5" customHeight="1">
      <c r="A83" s="10" t="s">
        <v>232</v>
      </c>
      <c r="B83" s="11"/>
      <c r="C83" s="334"/>
      <c r="D83" s="11"/>
      <c r="E83" s="363"/>
      <c r="F83" s="11">
        <f>ApIX!R57</f>
        <v>1</v>
      </c>
      <c r="G83" s="334">
        <f>ApIX!S57</f>
        <v>139.9</v>
      </c>
      <c r="H83" s="11"/>
      <c r="I83" s="363"/>
      <c r="J83" s="11"/>
      <c r="K83" s="363"/>
      <c r="L83" s="11"/>
      <c r="M83" s="11"/>
      <c r="N83" s="154">
        <f aca="true" t="shared" si="11" ref="N83:O86">SUM(B83,D83,F83,H83,J83,L83)</f>
        <v>1</v>
      </c>
      <c r="O83" s="372">
        <f t="shared" si="11"/>
        <v>139.9</v>
      </c>
    </row>
    <row r="84" spans="1:15" ht="19.5" customHeight="1">
      <c r="A84" s="10" t="s">
        <v>344</v>
      </c>
      <c r="B84" s="11"/>
      <c r="C84" s="334"/>
      <c r="D84" s="11"/>
      <c r="E84" s="363"/>
      <c r="F84" s="11">
        <f>ApIX!R58</f>
        <v>1</v>
      </c>
      <c r="G84" s="334">
        <f>ApIX!S58</f>
        <v>123</v>
      </c>
      <c r="H84" s="11"/>
      <c r="I84" s="363"/>
      <c r="J84" s="11"/>
      <c r="K84" s="363"/>
      <c r="L84" s="11"/>
      <c r="M84" s="11"/>
      <c r="N84" s="154">
        <f t="shared" si="11"/>
        <v>1</v>
      </c>
      <c r="O84" s="372">
        <f t="shared" si="11"/>
        <v>123</v>
      </c>
    </row>
    <row r="85" spans="1:15" ht="19.5" customHeight="1">
      <c r="A85" s="10" t="s">
        <v>33</v>
      </c>
      <c r="B85" s="11"/>
      <c r="C85" s="334"/>
      <c r="D85" s="11"/>
      <c r="E85" s="363"/>
      <c r="F85" s="11">
        <f>ApIX!R59</f>
        <v>1</v>
      </c>
      <c r="G85" s="334">
        <f>ApIX!S59</f>
        <v>152.2</v>
      </c>
      <c r="H85" s="11"/>
      <c r="I85" s="363"/>
      <c r="J85" s="11"/>
      <c r="K85" s="363"/>
      <c r="L85" s="11"/>
      <c r="M85" s="11"/>
      <c r="N85" s="154">
        <f t="shared" si="11"/>
        <v>1</v>
      </c>
      <c r="O85" s="372">
        <f t="shared" si="11"/>
        <v>152.2</v>
      </c>
    </row>
    <row r="86" spans="1:15" ht="21.75">
      <c r="A86" s="16" t="s">
        <v>34</v>
      </c>
      <c r="B86" s="17">
        <f>ApIII!T74</f>
        <v>1</v>
      </c>
      <c r="C86" s="383">
        <f>ApIII!U74</f>
        <v>165</v>
      </c>
      <c r="D86" s="17"/>
      <c r="E86" s="364"/>
      <c r="F86" s="17">
        <f>ApIX!R60</f>
        <v>2</v>
      </c>
      <c r="G86" s="383">
        <f>ApIX!S60</f>
        <v>231.8</v>
      </c>
      <c r="H86" s="17"/>
      <c r="I86" s="364"/>
      <c r="J86" s="17"/>
      <c r="K86" s="364"/>
      <c r="L86" s="17"/>
      <c r="M86" s="17"/>
      <c r="N86" s="155">
        <f t="shared" si="11"/>
        <v>3</v>
      </c>
      <c r="O86" s="373">
        <f t="shared" si="11"/>
        <v>396.8</v>
      </c>
    </row>
    <row r="87" spans="1:15" ht="21.75" customHeight="1">
      <c r="A87" s="391" t="s">
        <v>129</v>
      </c>
      <c r="B87" s="404"/>
      <c r="C87" s="395"/>
      <c r="D87" s="404"/>
      <c r="E87" s="395"/>
      <c r="F87" s="404"/>
      <c r="G87" s="395"/>
      <c r="H87" s="404"/>
      <c r="I87" s="395"/>
      <c r="J87" s="405"/>
      <c r="K87" s="395"/>
      <c r="L87" s="404"/>
      <c r="M87" s="404"/>
      <c r="N87" s="397"/>
      <c r="O87" s="398"/>
    </row>
    <row r="88" spans="1:15" ht="20.25" customHeight="1">
      <c r="A88" s="890" t="s">
        <v>146</v>
      </c>
      <c r="B88" s="11">
        <f>ApIII!T76</f>
        <v>0</v>
      </c>
      <c r="C88" s="334">
        <f>ApIII!U76</f>
        <v>125.2</v>
      </c>
      <c r="D88" s="11"/>
      <c r="E88" s="363"/>
      <c r="F88" s="11">
        <f>ApIX!R62</f>
        <v>2</v>
      </c>
      <c r="G88" s="334">
        <f>ApIX!S62</f>
        <v>495</v>
      </c>
      <c r="H88" s="11"/>
      <c r="I88" s="363"/>
      <c r="J88" s="11"/>
      <c r="K88" s="363"/>
      <c r="L88" s="11">
        <f>ApXIV!V53</f>
        <v>1</v>
      </c>
      <c r="M88" s="334">
        <f>ApXIV!W53</f>
        <v>202.6</v>
      </c>
      <c r="N88" s="154">
        <f aca="true" t="shared" si="12" ref="N88:N102">SUM(B88,D88,F88,H88,J88,L88)</f>
        <v>3</v>
      </c>
      <c r="O88" s="372">
        <f aca="true" t="shared" si="13" ref="O88:O102">SUM(C88,E88,G88,I88,K88,M88)</f>
        <v>822.8000000000001</v>
      </c>
    </row>
    <row r="89" spans="1:15" ht="20.25" customHeight="1">
      <c r="A89" s="890" t="s">
        <v>263</v>
      </c>
      <c r="B89" s="11">
        <f>ApIII!T77</f>
        <v>2</v>
      </c>
      <c r="C89" s="334">
        <f>ApIII!U77</f>
        <v>11.4</v>
      </c>
      <c r="D89" s="11"/>
      <c r="E89" s="363"/>
      <c r="F89" s="11">
        <f>ApIX!R63</f>
        <v>8</v>
      </c>
      <c r="G89" s="334">
        <f>ApIX!S63</f>
        <v>1985.9</v>
      </c>
      <c r="H89" s="11"/>
      <c r="I89" s="363"/>
      <c r="J89" s="11"/>
      <c r="K89" s="363"/>
      <c r="L89" s="11"/>
      <c r="M89" s="11"/>
      <c r="N89" s="154">
        <f t="shared" si="12"/>
        <v>10</v>
      </c>
      <c r="O89" s="372">
        <f t="shared" si="13"/>
        <v>1997.3000000000002</v>
      </c>
    </row>
    <row r="90" spans="1:15" ht="20.25" customHeight="1">
      <c r="A90" s="890" t="s">
        <v>49</v>
      </c>
      <c r="B90" s="11"/>
      <c r="C90" s="363"/>
      <c r="D90" s="11"/>
      <c r="E90" s="363"/>
      <c r="F90" s="11">
        <f>ApIX!R64</f>
        <v>11</v>
      </c>
      <c r="G90" s="334">
        <f>ApIX!S64</f>
        <v>3357.9</v>
      </c>
      <c r="H90" s="11"/>
      <c r="I90" s="363"/>
      <c r="J90" s="11"/>
      <c r="K90" s="363"/>
      <c r="L90" s="11"/>
      <c r="M90" s="11"/>
      <c r="N90" s="154">
        <f t="shared" si="12"/>
        <v>11</v>
      </c>
      <c r="O90" s="372">
        <f t="shared" si="13"/>
        <v>3357.9</v>
      </c>
    </row>
    <row r="91" spans="1:15" ht="20.25" customHeight="1">
      <c r="A91" s="890" t="s">
        <v>50</v>
      </c>
      <c r="B91" s="11"/>
      <c r="C91" s="334"/>
      <c r="D91" s="11"/>
      <c r="E91" s="363"/>
      <c r="F91" s="11">
        <f>ApIX!R65</f>
        <v>1</v>
      </c>
      <c r="G91" s="334">
        <f>ApIX!S65</f>
        <v>234.6</v>
      </c>
      <c r="H91" s="11"/>
      <c r="I91" s="363"/>
      <c r="J91" s="11"/>
      <c r="K91" s="363"/>
      <c r="L91" s="11"/>
      <c r="M91" s="11"/>
      <c r="N91" s="154">
        <f t="shared" si="12"/>
        <v>1</v>
      </c>
      <c r="O91" s="372">
        <f t="shared" si="13"/>
        <v>234.6</v>
      </c>
    </row>
    <row r="92" spans="1:15" ht="20.25" customHeight="1">
      <c r="A92" s="890" t="s">
        <v>157</v>
      </c>
      <c r="B92" s="11"/>
      <c r="C92" s="363"/>
      <c r="D92" s="11"/>
      <c r="E92" s="334"/>
      <c r="F92" s="11">
        <f>ApIX!R66</f>
        <v>8</v>
      </c>
      <c r="G92" s="334">
        <f>ApIX!S66</f>
        <v>2353.7000000000003</v>
      </c>
      <c r="H92" s="11"/>
      <c r="I92" s="363"/>
      <c r="J92" s="11"/>
      <c r="K92" s="363"/>
      <c r="L92" s="11">
        <f>ApXIV!V54</f>
        <v>1</v>
      </c>
      <c r="M92" s="334">
        <f>ApXIV!W54</f>
        <v>279.6</v>
      </c>
      <c r="N92" s="154">
        <f t="shared" si="12"/>
        <v>9</v>
      </c>
      <c r="O92" s="372">
        <f t="shared" si="13"/>
        <v>2633.3</v>
      </c>
    </row>
    <row r="93" spans="1:15" ht="20.25" customHeight="1">
      <c r="A93" s="890" t="s">
        <v>213</v>
      </c>
      <c r="B93" s="11">
        <f>ApIII!T78</f>
        <v>6</v>
      </c>
      <c r="C93" s="334">
        <f>ApIII!U78</f>
        <v>34.2</v>
      </c>
      <c r="D93" s="11"/>
      <c r="E93" s="334"/>
      <c r="F93" s="11"/>
      <c r="G93" s="334"/>
      <c r="H93" s="11"/>
      <c r="I93" s="363"/>
      <c r="J93" s="11"/>
      <c r="K93" s="363"/>
      <c r="L93" s="11"/>
      <c r="M93" s="11"/>
      <c r="N93" s="154">
        <f t="shared" si="12"/>
        <v>6</v>
      </c>
      <c r="O93" s="372">
        <f t="shared" si="13"/>
        <v>34.2</v>
      </c>
    </row>
    <row r="94" spans="1:15" ht="20.25" customHeight="1">
      <c r="A94" s="890" t="s">
        <v>163</v>
      </c>
      <c r="B94" s="11"/>
      <c r="C94" s="363"/>
      <c r="D94" s="11">
        <f>ApVI!R40</f>
        <v>0</v>
      </c>
      <c r="E94" s="334">
        <f>ApVI!S40</f>
        <v>201.1</v>
      </c>
      <c r="F94" s="11">
        <f>ApIX!R67</f>
        <v>5</v>
      </c>
      <c r="G94" s="334">
        <f>ApIX!S67</f>
        <v>1461.5</v>
      </c>
      <c r="H94" s="11"/>
      <c r="I94" s="363"/>
      <c r="J94" s="11"/>
      <c r="K94" s="363"/>
      <c r="L94" s="11"/>
      <c r="M94" s="11"/>
      <c r="N94" s="154">
        <f t="shared" si="12"/>
        <v>5</v>
      </c>
      <c r="O94" s="372">
        <f t="shared" si="13"/>
        <v>1662.6</v>
      </c>
    </row>
    <row r="95" spans="1:15" ht="20.25" customHeight="1">
      <c r="A95" s="890" t="s">
        <v>445</v>
      </c>
      <c r="B95" s="11"/>
      <c r="C95" s="363"/>
      <c r="D95" s="11"/>
      <c r="E95" s="334"/>
      <c r="F95" s="11">
        <f>ApIX!R68</f>
        <v>5</v>
      </c>
      <c r="G95" s="334">
        <f>ApIX!S68</f>
        <v>1497.1999999999998</v>
      </c>
      <c r="H95" s="11"/>
      <c r="I95" s="363"/>
      <c r="J95" s="11"/>
      <c r="K95" s="363"/>
      <c r="L95" s="11"/>
      <c r="M95" s="11"/>
      <c r="N95" s="154">
        <f t="shared" si="12"/>
        <v>5</v>
      </c>
      <c r="O95" s="372">
        <f t="shared" si="13"/>
        <v>1497.1999999999998</v>
      </c>
    </row>
    <row r="96" spans="1:15" ht="20.25" customHeight="1">
      <c r="A96" s="890" t="s">
        <v>346</v>
      </c>
      <c r="B96" s="11">
        <f>ApIII!T79</f>
        <v>2</v>
      </c>
      <c r="C96" s="334">
        <f>ApIII!U79</f>
        <v>330</v>
      </c>
      <c r="D96" s="11"/>
      <c r="E96" s="334"/>
      <c r="F96" s="11">
        <f>ApIX!R69</f>
        <v>3</v>
      </c>
      <c r="G96" s="334">
        <f>ApIX!S69</f>
        <v>733.8</v>
      </c>
      <c r="H96" s="11"/>
      <c r="I96" s="363"/>
      <c r="J96" s="11"/>
      <c r="K96" s="363"/>
      <c r="L96" s="11"/>
      <c r="M96" s="11"/>
      <c r="N96" s="154">
        <f t="shared" si="12"/>
        <v>5</v>
      </c>
      <c r="O96" s="372">
        <f t="shared" si="13"/>
        <v>1063.8</v>
      </c>
    </row>
    <row r="97" spans="1:15" ht="20.25" customHeight="1">
      <c r="A97" s="890" t="s">
        <v>51</v>
      </c>
      <c r="B97" s="11"/>
      <c r="C97" s="363"/>
      <c r="D97" s="11"/>
      <c r="E97" s="334"/>
      <c r="F97" s="11">
        <f>ApIX!R70</f>
        <v>6</v>
      </c>
      <c r="G97" s="334">
        <f>ApIX!S70</f>
        <v>1349.6999999999998</v>
      </c>
      <c r="H97" s="11"/>
      <c r="I97" s="363"/>
      <c r="J97" s="11"/>
      <c r="K97" s="363"/>
      <c r="L97" s="11">
        <f>ApXIV!V55</f>
        <v>1</v>
      </c>
      <c r="M97" s="334">
        <f>ApXIV!W55</f>
        <v>229.5</v>
      </c>
      <c r="N97" s="154">
        <f t="shared" si="12"/>
        <v>7</v>
      </c>
      <c r="O97" s="372">
        <f t="shared" si="13"/>
        <v>1579.1999999999998</v>
      </c>
    </row>
    <row r="98" spans="1:15" ht="20.25" customHeight="1">
      <c r="A98" s="890" t="s">
        <v>255</v>
      </c>
      <c r="B98" s="11"/>
      <c r="C98" s="334"/>
      <c r="D98" s="11"/>
      <c r="E98" s="363"/>
      <c r="F98" s="11">
        <f>ApIX!R71</f>
        <v>1</v>
      </c>
      <c r="G98" s="334">
        <f>ApIX!S71</f>
        <v>232</v>
      </c>
      <c r="H98" s="11"/>
      <c r="I98" s="363"/>
      <c r="J98" s="11"/>
      <c r="K98" s="363"/>
      <c r="L98" s="11"/>
      <c r="M98" s="11"/>
      <c r="N98" s="154">
        <f t="shared" si="12"/>
        <v>1</v>
      </c>
      <c r="O98" s="372">
        <f t="shared" si="13"/>
        <v>232</v>
      </c>
    </row>
    <row r="99" spans="1:15" ht="20.25" customHeight="1">
      <c r="A99" s="890" t="s">
        <v>164</v>
      </c>
      <c r="B99" s="11">
        <f>ApIII!T80</f>
        <v>2</v>
      </c>
      <c r="C99" s="334">
        <f>ApIII!U80</f>
        <v>330</v>
      </c>
      <c r="D99" s="11"/>
      <c r="E99" s="363"/>
      <c r="F99" s="11">
        <f>ApIX!R72</f>
        <v>2</v>
      </c>
      <c r="G99" s="334">
        <f>ApIX!S72</f>
        <v>499.5</v>
      </c>
      <c r="H99" s="11"/>
      <c r="I99" s="363"/>
      <c r="J99" s="11"/>
      <c r="K99" s="363"/>
      <c r="L99" s="11"/>
      <c r="M99" s="334"/>
      <c r="N99" s="154">
        <f>SUM(B99,D99,F99,H99,J99,L99)</f>
        <v>4</v>
      </c>
      <c r="O99" s="372">
        <f t="shared" si="13"/>
        <v>829.5</v>
      </c>
    </row>
    <row r="100" spans="1:15" ht="20.25" customHeight="1">
      <c r="A100" s="890" t="s">
        <v>52</v>
      </c>
      <c r="B100" s="11">
        <f>ApIII!T81</f>
        <v>2</v>
      </c>
      <c r="C100" s="334">
        <f>ApIII!U81</f>
        <v>398.4</v>
      </c>
      <c r="D100" s="11"/>
      <c r="E100" s="363"/>
      <c r="F100" s="11">
        <f>ApIX!R73</f>
        <v>2</v>
      </c>
      <c r="G100" s="334">
        <f>ApIX!S73</f>
        <v>582.7</v>
      </c>
      <c r="H100" s="11"/>
      <c r="I100" s="363"/>
      <c r="J100" s="11"/>
      <c r="K100" s="363"/>
      <c r="L100" s="11"/>
      <c r="M100" s="334"/>
      <c r="N100" s="154">
        <f t="shared" si="12"/>
        <v>4</v>
      </c>
      <c r="O100" s="372">
        <f>SUM(C100,E100,G100,I100,K100,M100)</f>
        <v>981.1</v>
      </c>
    </row>
    <row r="101" spans="1:15" ht="20.25" customHeight="1">
      <c r="A101" s="890" t="s">
        <v>593</v>
      </c>
      <c r="B101" s="11">
        <f>ApIII!T82</f>
        <v>5</v>
      </c>
      <c r="C101" s="334">
        <f>ApIII!U82</f>
        <v>28.5</v>
      </c>
      <c r="D101" s="11"/>
      <c r="E101" s="363"/>
      <c r="F101" s="11"/>
      <c r="G101" s="363"/>
      <c r="H101" s="11"/>
      <c r="I101" s="363"/>
      <c r="J101" s="11"/>
      <c r="K101" s="363"/>
      <c r="L101" s="11"/>
      <c r="M101" s="334"/>
      <c r="N101" s="154">
        <f t="shared" si="12"/>
        <v>5</v>
      </c>
      <c r="O101" s="372">
        <f t="shared" si="13"/>
        <v>28.5</v>
      </c>
    </row>
    <row r="102" spans="1:15" ht="20.25" customHeight="1">
      <c r="A102" s="1024" t="s">
        <v>595</v>
      </c>
      <c r="B102" s="17">
        <f>ApIII!T83</f>
        <v>2</v>
      </c>
      <c r="C102" s="383">
        <f>ApIII!U83</f>
        <v>330</v>
      </c>
      <c r="D102" s="17"/>
      <c r="E102" s="364"/>
      <c r="F102" s="17"/>
      <c r="G102" s="364"/>
      <c r="H102" s="17"/>
      <c r="I102" s="364"/>
      <c r="J102" s="17"/>
      <c r="K102" s="364"/>
      <c r="L102" s="17"/>
      <c r="M102" s="383"/>
      <c r="N102" s="155">
        <f t="shared" si="12"/>
        <v>2</v>
      </c>
      <c r="O102" s="373">
        <f t="shared" si="13"/>
        <v>330</v>
      </c>
    </row>
    <row r="103" spans="1:15" ht="21.75" customHeight="1">
      <c r="A103" s="1129" t="s">
        <v>597</v>
      </c>
      <c r="B103" s="1130"/>
      <c r="C103" s="1131"/>
      <c r="D103" s="1130"/>
      <c r="E103" s="1131"/>
      <c r="F103" s="1130"/>
      <c r="G103" s="1132"/>
      <c r="H103" s="1130"/>
      <c r="I103" s="1131"/>
      <c r="J103" s="1130"/>
      <c r="K103" s="1131"/>
      <c r="L103" s="1130"/>
      <c r="M103" s="1130"/>
      <c r="N103" s="1133"/>
      <c r="O103" s="1134"/>
    </row>
    <row r="104" spans="1:15" ht="20.25" customHeight="1">
      <c r="A104" s="16" t="s">
        <v>596</v>
      </c>
      <c r="B104" s="17"/>
      <c r="C104" s="364"/>
      <c r="D104" s="17"/>
      <c r="E104" s="364"/>
      <c r="F104" s="17">
        <f>ApIX!R75</f>
        <v>2</v>
      </c>
      <c r="G104" s="383">
        <f>ApIX!S75</f>
        <v>244.6</v>
      </c>
      <c r="H104" s="17"/>
      <c r="I104" s="364"/>
      <c r="J104" s="17"/>
      <c r="K104" s="364"/>
      <c r="L104" s="17"/>
      <c r="M104" s="17"/>
      <c r="N104" s="155">
        <f>SUM(B104,D104,F104,H104,J104,L104)</f>
        <v>2</v>
      </c>
      <c r="O104" s="373">
        <f>SUM(C104,E104,G104,I104,K104,M104)</f>
        <v>244.6</v>
      </c>
    </row>
    <row r="105" spans="1:15" ht="22.5" customHeight="1" thickBot="1">
      <c r="A105" s="384" t="s">
        <v>148</v>
      </c>
      <c r="B105" s="406"/>
      <c r="C105" s="408"/>
      <c r="D105" s="406"/>
      <c r="E105" s="407"/>
      <c r="F105" s="406">
        <f>ApIX!R76</f>
        <v>6</v>
      </c>
      <c r="G105" s="408">
        <f>ApIX!S76</f>
        <v>452.7</v>
      </c>
      <c r="H105" s="406"/>
      <c r="I105" s="407">
        <f>ApVII!S8</f>
        <v>3978.7</v>
      </c>
      <c r="J105" s="406">
        <f>ApXI!X33</f>
        <v>17</v>
      </c>
      <c r="K105" s="407">
        <f>ApXI!Y33</f>
        <v>781.2</v>
      </c>
      <c r="L105" s="406">
        <f>ApXIV!T10+ApXIV!V46</f>
        <v>11</v>
      </c>
      <c r="M105" s="408">
        <f>ApXIV!W10+ApXIV!W46</f>
        <v>668.9000000000001</v>
      </c>
      <c r="N105" s="400">
        <f>SUM(B105,D105,F105,H105,J105,L105)</f>
        <v>34</v>
      </c>
      <c r="O105" s="401">
        <f>SUM(C105,E105,G105,I105,K105,M105)</f>
        <v>5881.5</v>
      </c>
    </row>
    <row r="106" spans="1:15" ht="22.5" thickBot="1">
      <c r="A106" s="409" t="s">
        <v>53</v>
      </c>
      <c r="B106" s="750">
        <f aca="true" t="shared" si="14" ref="B106:O106">SUM(B5:B105)</f>
        <v>1526</v>
      </c>
      <c r="C106" s="413">
        <f t="shared" si="14"/>
        <v>337997.87105000013</v>
      </c>
      <c r="D106" s="750">
        <f t="shared" si="14"/>
        <v>43</v>
      </c>
      <c r="E106" s="413">
        <f t="shared" si="14"/>
        <v>26212.399999999998</v>
      </c>
      <c r="F106" s="750">
        <f t="shared" si="14"/>
        <v>222</v>
      </c>
      <c r="G106" s="413">
        <f t="shared" si="14"/>
        <v>40157.89999999999</v>
      </c>
      <c r="H106" s="750">
        <f t="shared" si="14"/>
        <v>93</v>
      </c>
      <c r="I106" s="413">
        <f t="shared" si="14"/>
        <v>6047.7</v>
      </c>
      <c r="J106" s="750">
        <f t="shared" si="14"/>
        <v>279</v>
      </c>
      <c r="K106" s="413">
        <f t="shared" si="14"/>
        <v>24539.300000000007</v>
      </c>
      <c r="L106" s="750">
        <f t="shared" si="14"/>
        <v>126</v>
      </c>
      <c r="M106" s="413">
        <f t="shared" si="14"/>
        <v>6932.800000000001</v>
      </c>
      <c r="N106" s="750">
        <f t="shared" si="14"/>
        <v>2289</v>
      </c>
      <c r="O106" s="413">
        <f t="shared" si="14"/>
        <v>441887.97105</v>
      </c>
    </row>
    <row r="107" spans="1:15" ht="20.25" customHeight="1">
      <c r="A107" s="8" t="s">
        <v>131</v>
      </c>
      <c r="B107" s="20"/>
      <c r="C107" s="365"/>
      <c r="D107" s="21"/>
      <c r="E107" s="365"/>
      <c r="F107" s="22"/>
      <c r="G107" s="316"/>
      <c r="H107" s="23"/>
      <c r="I107" s="365"/>
      <c r="J107" s="20"/>
      <c r="K107" s="365"/>
      <c r="L107" s="23"/>
      <c r="M107" s="23"/>
      <c r="N107" s="20"/>
      <c r="O107" s="316"/>
    </row>
    <row r="108" spans="1:13" ht="20.25" customHeight="1">
      <c r="A108" s="27" t="s">
        <v>151</v>
      </c>
      <c r="B108" s="20"/>
      <c r="C108" s="365"/>
      <c r="D108" s="21"/>
      <c r="E108" s="365"/>
      <c r="F108" s="22"/>
      <c r="J108" s="20"/>
      <c r="K108" s="365"/>
      <c r="L108" s="23"/>
      <c r="M108" s="282"/>
    </row>
    <row r="109" spans="1:15" s="29" customFormat="1" ht="20.25" customHeight="1">
      <c r="A109" s="34" t="s">
        <v>133</v>
      </c>
      <c r="B109" s="28"/>
      <c r="C109" s="366"/>
      <c r="E109" s="366"/>
      <c r="F109" s="28"/>
      <c r="G109" s="371"/>
      <c r="I109" s="366"/>
      <c r="J109" s="28"/>
      <c r="K109" s="365"/>
      <c r="L109" s="30"/>
      <c r="M109" s="27"/>
      <c r="N109" s="28"/>
      <c r="O109" s="316"/>
    </row>
    <row r="110" spans="1:15" ht="20.25" customHeight="1">
      <c r="A110" s="8" t="s">
        <v>132</v>
      </c>
      <c r="N110" s="32"/>
      <c r="O110" s="316"/>
    </row>
    <row r="111" spans="1:2" ht="21.75">
      <c r="A111" s="121"/>
      <c r="B111" s="33"/>
    </row>
    <row r="112" spans="1:5" ht="21.75">
      <c r="A112" s="121"/>
      <c r="C112" s="365"/>
      <c r="D112" s="30"/>
      <c r="E112" s="365"/>
    </row>
    <row r="113" spans="1:3" ht="21.75">
      <c r="A113" s="121"/>
      <c r="C113" s="362"/>
    </row>
    <row r="114" spans="1:10" ht="21.75">
      <c r="A114" s="121"/>
      <c r="J114" s="25" t="s">
        <v>103</v>
      </c>
    </row>
    <row r="131" ht="21.75">
      <c r="F131" s="367"/>
    </row>
  </sheetData>
  <sheetProtection/>
  <mergeCells count="8">
    <mergeCell ref="A2:A3"/>
    <mergeCell ref="B2:C2"/>
    <mergeCell ref="F2:G2"/>
    <mergeCell ref="D2:E2"/>
    <mergeCell ref="J2:K2"/>
    <mergeCell ref="N2:O2"/>
    <mergeCell ref="L2:M2"/>
    <mergeCell ref="H2:I2"/>
  </mergeCells>
  <printOptions horizontalCentered="1"/>
  <pageMargins left="0.03937007874015748" right="0.1968503937007874" top="0" bottom="0" header="0" footer="0"/>
  <pageSetup fitToWidth="0" horizontalDpi="600" verticalDpi="600" orientation="landscape" paperSize="9" r:id="rId1"/>
  <rowBreaks count="4" manualBreakCount="4">
    <brk id="23" max="14" man="1"/>
    <brk id="43" max="14" man="1"/>
    <brk id="63" max="14" man="1"/>
    <brk id="86" max="14" man="1"/>
  </rowBreaks>
</worksheet>
</file>

<file path=xl/worksheets/sheet10.xml><?xml version="1.0" encoding="utf-8"?>
<worksheet xmlns="http://schemas.openxmlformats.org/spreadsheetml/2006/main" xmlns:r="http://schemas.openxmlformats.org/officeDocument/2006/relationships">
  <sheetPr>
    <tabColor indexed="14"/>
  </sheetPr>
  <dimension ref="A1:H242"/>
  <sheetViews>
    <sheetView zoomScalePageLayoutView="0" workbookViewId="0" topLeftCell="A1">
      <selection activeCell="C16" sqref="C16"/>
    </sheetView>
  </sheetViews>
  <sheetFormatPr defaultColWidth="9.140625" defaultRowHeight="12.75"/>
  <cols>
    <col min="1" max="1" width="13.28125" style="517" customWidth="1"/>
    <col min="2" max="2" width="3.00390625" style="517" bestFit="1" customWidth="1"/>
    <col min="3" max="3" width="43.7109375" style="526" customWidth="1"/>
    <col min="4" max="4" width="62.57421875" style="519" customWidth="1"/>
    <col min="5" max="5" width="5.8515625" style="517" customWidth="1"/>
    <col min="6" max="6" width="9.57421875" style="519" customWidth="1"/>
    <col min="7" max="7" width="9.140625" style="80" customWidth="1"/>
    <col min="8" max="8" width="11.7109375" style="80" customWidth="1"/>
    <col min="9" max="16384" width="9.140625" style="519" customWidth="1"/>
  </cols>
  <sheetData>
    <row r="1" spans="1:6" ht="24.75" customHeight="1" thickBot="1">
      <c r="A1" s="160" t="s">
        <v>503</v>
      </c>
      <c r="C1" s="516"/>
      <c r="D1" s="518"/>
      <c r="E1" s="552"/>
      <c r="F1" s="19" t="s">
        <v>0</v>
      </c>
    </row>
    <row r="2" spans="1:8" s="508" customFormat="1" ht="34.5" customHeight="1" thickBot="1">
      <c r="A2" s="532" t="s">
        <v>117</v>
      </c>
      <c r="B2" s="533"/>
      <c r="C2" s="534" t="s">
        <v>116</v>
      </c>
      <c r="D2" s="532" t="s">
        <v>118</v>
      </c>
      <c r="E2" s="532" t="s">
        <v>10</v>
      </c>
      <c r="F2" s="535" t="s">
        <v>9</v>
      </c>
      <c r="H2" s="509"/>
    </row>
    <row r="3" spans="1:8" s="165" customFormat="1" ht="63">
      <c r="A3" s="536" t="s">
        <v>63</v>
      </c>
      <c r="B3" s="199">
        <v>1</v>
      </c>
      <c r="C3" s="537" t="s">
        <v>504</v>
      </c>
      <c r="D3" s="757" t="s">
        <v>505</v>
      </c>
      <c r="E3" s="538">
        <v>19</v>
      </c>
      <c r="F3" s="539">
        <v>3158.2</v>
      </c>
      <c r="H3" s="164"/>
    </row>
    <row r="4" spans="2:6" ht="63">
      <c r="B4" s="199">
        <v>2</v>
      </c>
      <c r="C4" s="537" t="s">
        <v>210</v>
      </c>
      <c r="D4" s="757" t="s">
        <v>506</v>
      </c>
      <c r="E4" s="538">
        <v>15</v>
      </c>
      <c r="F4" s="539">
        <v>2775.5</v>
      </c>
    </row>
    <row r="5" spans="2:6" ht="63">
      <c r="B5" s="199">
        <v>3</v>
      </c>
      <c r="C5" s="537" t="s">
        <v>523</v>
      </c>
      <c r="D5" s="757" t="s">
        <v>524</v>
      </c>
      <c r="E5" s="538">
        <v>16</v>
      </c>
      <c r="F5" s="539">
        <v>2180.1</v>
      </c>
    </row>
    <row r="6" spans="2:6" ht="42">
      <c r="B6" s="199">
        <v>4</v>
      </c>
      <c r="C6" s="537" t="s">
        <v>211</v>
      </c>
      <c r="D6" s="757" t="s">
        <v>507</v>
      </c>
      <c r="E6" s="538">
        <v>16</v>
      </c>
      <c r="F6" s="539">
        <v>2413.8</v>
      </c>
    </row>
    <row r="7" spans="2:6" ht="63">
      <c r="B7" s="199">
        <v>5</v>
      </c>
      <c r="C7" s="537" t="s">
        <v>508</v>
      </c>
      <c r="D7" s="757" t="s">
        <v>509</v>
      </c>
      <c r="E7" s="538">
        <v>17</v>
      </c>
      <c r="F7" s="539">
        <v>1923.5</v>
      </c>
    </row>
    <row r="8" spans="2:6" ht="67.5" customHeight="1">
      <c r="B8" s="199">
        <v>6</v>
      </c>
      <c r="C8" s="537" t="s">
        <v>510</v>
      </c>
      <c r="D8" s="757" t="s">
        <v>511</v>
      </c>
      <c r="E8" s="538">
        <v>21</v>
      </c>
      <c r="F8" s="539">
        <v>3163.2</v>
      </c>
    </row>
    <row r="9" spans="2:6" ht="42">
      <c r="B9" s="199">
        <v>7</v>
      </c>
      <c r="C9" s="537" t="s">
        <v>212</v>
      </c>
      <c r="D9" s="757" t="s">
        <v>512</v>
      </c>
      <c r="E9" s="538">
        <v>11</v>
      </c>
      <c r="F9" s="539">
        <v>2550.4</v>
      </c>
    </row>
    <row r="10" spans="1:8" s="508" customFormat="1" ht="21" customHeight="1">
      <c r="A10" s="510"/>
      <c r="B10" s="511"/>
      <c r="C10" s="212" t="s">
        <v>152</v>
      </c>
      <c r="D10" s="512"/>
      <c r="E10" s="212">
        <f>SUM(E3:E9)</f>
        <v>115</v>
      </c>
      <c r="F10" s="212">
        <f>SUM(F3:F9)</f>
        <v>18164.7</v>
      </c>
      <c r="H10" s="509"/>
    </row>
    <row r="11" spans="1:8" s="7" customFormat="1" ht="63">
      <c r="A11" s="253" t="s">
        <v>69</v>
      </c>
      <c r="B11" s="199">
        <v>8</v>
      </c>
      <c r="C11" s="537" t="s">
        <v>229</v>
      </c>
      <c r="D11" s="758" t="s">
        <v>513</v>
      </c>
      <c r="E11" s="542">
        <v>16</v>
      </c>
      <c r="F11" s="539">
        <v>3923.5</v>
      </c>
      <c r="H11" s="80"/>
    </row>
    <row r="12" spans="1:8" s="7" customFormat="1" ht="63">
      <c r="A12" s="892"/>
      <c r="B12" s="199">
        <v>9</v>
      </c>
      <c r="C12" s="537" t="s">
        <v>230</v>
      </c>
      <c r="D12" s="758" t="s">
        <v>514</v>
      </c>
      <c r="E12" s="542">
        <v>18</v>
      </c>
      <c r="F12" s="539">
        <v>2611.9</v>
      </c>
      <c r="H12" s="80"/>
    </row>
    <row r="13" spans="1:8" s="513" customFormat="1" ht="21.75" customHeight="1">
      <c r="A13" s="214"/>
      <c r="B13" s="514"/>
      <c r="C13" s="213" t="s">
        <v>152</v>
      </c>
      <c r="D13" s="214"/>
      <c r="E13" s="213">
        <f>SUM(E11:E12)</f>
        <v>34</v>
      </c>
      <c r="F13" s="1049">
        <f>SUM(F11:F12)</f>
        <v>6535.4</v>
      </c>
      <c r="H13" s="42"/>
    </row>
    <row r="14" spans="1:8" s="132" customFormat="1" ht="63">
      <c r="A14" s="253" t="s">
        <v>71</v>
      </c>
      <c r="B14" s="199">
        <v>10</v>
      </c>
      <c r="C14" s="537" t="s">
        <v>515</v>
      </c>
      <c r="D14" s="758" t="s">
        <v>516</v>
      </c>
      <c r="E14" s="542">
        <v>15</v>
      </c>
      <c r="F14" s="539">
        <v>2719</v>
      </c>
      <c r="H14" s="166"/>
    </row>
    <row r="15" spans="1:8" s="132" customFormat="1" ht="42">
      <c r="A15" s="236"/>
      <c r="B15" s="199">
        <v>11</v>
      </c>
      <c r="C15" s="537" t="s">
        <v>517</v>
      </c>
      <c r="D15" s="758" t="s">
        <v>518</v>
      </c>
      <c r="E15" s="542">
        <v>15</v>
      </c>
      <c r="F15" s="539">
        <v>3302.3</v>
      </c>
      <c r="H15" s="166"/>
    </row>
    <row r="16" spans="1:8" s="132" customFormat="1" ht="42">
      <c r="A16" s="236"/>
      <c r="B16" s="199">
        <v>12</v>
      </c>
      <c r="C16" s="537" t="s">
        <v>264</v>
      </c>
      <c r="D16" s="758" t="s">
        <v>519</v>
      </c>
      <c r="E16" s="542">
        <v>12</v>
      </c>
      <c r="F16" s="539">
        <v>2665.2</v>
      </c>
      <c r="H16" s="166"/>
    </row>
    <row r="17" spans="1:8" s="132" customFormat="1" ht="42">
      <c r="A17" s="892"/>
      <c r="B17" s="199">
        <v>13</v>
      </c>
      <c r="C17" s="537" t="s">
        <v>265</v>
      </c>
      <c r="D17" s="758" t="s">
        <v>520</v>
      </c>
      <c r="E17" s="542">
        <v>16</v>
      </c>
      <c r="F17" s="539">
        <v>3986.5</v>
      </c>
      <c r="H17" s="166"/>
    </row>
    <row r="18" spans="1:8" s="132" customFormat="1" ht="21">
      <c r="A18" s="219"/>
      <c r="B18" s="543"/>
      <c r="C18" s="215" t="s">
        <v>152</v>
      </c>
      <c r="D18" s="216"/>
      <c r="E18" s="553">
        <f>SUM(E14:E17)</f>
        <v>58</v>
      </c>
      <c r="F18" s="234">
        <f>SUM(F14:F17)</f>
        <v>12673</v>
      </c>
      <c r="H18" s="166"/>
    </row>
    <row r="19" spans="1:8" s="108" customFormat="1" ht="63">
      <c r="A19" s="1050" t="s">
        <v>73</v>
      </c>
      <c r="B19" s="246">
        <v>14</v>
      </c>
      <c r="C19" s="537" t="s">
        <v>521</v>
      </c>
      <c r="D19" s="758" t="s">
        <v>522</v>
      </c>
      <c r="E19" s="540">
        <v>15</v>
      </c>
      <c r="F19" s="541">
        <v>2784.8</v>
      </c>
      <c r="H19" s="80"/>
    </row>
    <row r="20" spans="1:8" s="108" customFormat="1" ht="21.75" thickBot="1">
      <c r="A20" s="217"/>
      <c r="B20" s="545"/>
      <c r="C20" s="546" t="s">
        <v>152</v>
      </c>
      <c r="D20" s="547"/>
      <c r="E20" s="546">
        <f>SUM(E19)</f>
        <v>15</v>
      </c>
      <c r="F20" s="548">
        <f>SUM(F19)</f>
        <v>2784.8</v>
      </c>
      <c r="H20" s="80"/>
    </row>
    <row r="21" spans="1:8" s="515" customFormat="1" ht="19.5" customHeight="1" thickBot="1">
      <c r="A21" s="117"/>
      <c r="B21" s="549"/>
      <c r="C21" s="534" t="s">
        <v>53</v>
      </c>
      <c r="D21" s="550"/>
      <c r="E21" s="554">
        <f>SUM(E3:E20)/2</f>
        <v>222</v>
      </c>
      <c r="F21" s="235">
        <f>SUM(F3:F20)/2</f>
        <v>40157.90000000001</v>
      </c>
      <c r="H21" s="544"/>
    </row>
    <row r="22" spans="1:8" s="201" customFormat="1" ht="18.75" customHeight="1">
      <c r="A22" s="132"/>
      <c r="B22" s="520"/>
      <c r="C22" s="169"/>
      <c r="D22" s="130"/>
      <c r="E22" s="131"/>
      <c r="F22" s="521"/>
      <c r="H22" s="551"/>
    </row>
    <row r="23" spans="1:8" s="108" customFormat="1" ht="19.5" customHeight="1">
      <c r="A23" s="62"/>
      <c r="B23" s="522"/>
      <c r="C23" s="169"/>
      <c r="D23" s="130"/>
      <c r="E23" s="131"/>
      <c r="F23" s="523"/>
      <c r="H23" s="80"/>
    </row>
    <row r="24" spans="1:8" s="108" customFormat="1" ht="19.5" customHeight="1">
      <c r="A24" s="101"/>
      <c r="B24" s="524"/>
      <c r="C24" s="168"/>
      <c r="D24" s="195"/>
      <c r="E24" s="196"/>
      <c r="F24" s="525"/>
      <c r="H24" s="80"/>
    </row>
    <row r="25" spans="1:8" s="7" customFormat="1" ht="18.75" customHeight="1">
      <c r="A25" s="101"/>
      <c r="B25" s="524"/>
      <c r="C25" s="168"/>
      <c r="D25" s="130"/>
      <c r="E25" s="131"/>
      <c r="F25" s="523"/>
      <c r="H25" s="80"/>
    </row>
    <row r="26" spans="1:8" s="7" customFormat="1" ht="18.75" customHeight="1">
      <c r="A26" s="101"/>
      <c r="B26" s="524"/>
      <c r="C26" s="168"/>
      <c r="D26" s="195"/>
      <c r="E26" s="196"/>
      <c r="F26" s="525"/>
      <c r="H26" s="80"/>
    </row>
    <row r="27" spans="1:8" s="7" customFormat="1" ht="18.75" customHeight="1">
      <c r="A27" s="101"/>
      <c r="B27" s="524"/>
      <c r="C27" s="168"/>
      <c r="D27" s="130"/>
      <c r="E27" s="196"/>
      <c r="F27" s="523"/>
      <c r="H27" s="80"/>
    </row>
    <row r="28" spans="1:8" s="7" customFormat="1" ht="18.75" customHeight="1">
      <c r="A28" s="101"/>
      <c r="B28" s="524"/>
      <c r="C28" s="168"/>
      <c r="D28" s="130"/>
      <c r="E28" s="131"/>
      <c r="F28" s="523"/>
      <c r="H28" s="80"/>
    </row>
    <row r="29" spans="1:8" s="7" customFormat="1" ht="18.75" customHeight="1">
      <c r="A29" s="101"/>
      <c r="B29" s="524"/>
      <c r="C29" s="168"/>
      <c r="D29" s="130"/>
      <c r="E29" s="131"/>
      <c r="F29" s="523"/>
      <c r="H29" s="80"/>
    </row>
    <row r="30" spans="1:8" s="7" customFormat="1" ht="18.75" customHeight="1">
      <c r="A30" s="101"/>
      <c r="B30" s="524"/>
      <c r="C30" s="167"/>
      <c r="D30" s="130"/>
      <c r="E30" s="131"/>
      <c r="F30" s="523"/>
      <c r="H30" s="80"/>
    </row>
    <row r="31" spans="1:8" s="108" customFormat="1" ht="19.5" customHeight="1">
      <c r="A31" s="101"/>
      <c r="B31" s="524"/>
      <c r="C31" s="167"/>
      <c r="D31" s="130"/>
      <c r="E31" s="131"/>
      <c r="F31" s="523"/>
      <c r="H31" s="80"/>
    </row>
    <row r="32" spans="1:8" s="108" customFormat="1" ht="19.5" customHeight="1">
      <c r="A32" s="517"/>
      <c r="B32" s="517"/>
      <c r="C32" s="526"/>
      <c r="D32" s="519"/>
      <c r="E32" s="517"/>
      <c r="F32" s="519"/>
      <c r="H32" s="80"/>
    </row>
    <row r="34" spans="1:6" ht="18.75">
      <c r="A34" s="133"/>
      <c r="B34" s="133"/>
      <c r="C34" s="132"/>
      <c r="D34" s="132"/>
      <c r="E34" s="133"/>
      <c r="F34" s="527"/>
    </row>
    <row r="35" spans="1:8" s="132" customFormat="1" ht="21.75" customHeight="1">
      <c r="A35" s="133"/>
      <c r="B35" s="133"/>
      <c r="C35" s="528"/>
      <c r="E35" s="133"/>
      <c r="F35" s="92"/>
      <c r="H35" s="166"/>
    </row>
    <row r="36" spans="1:8" s="108" customFormat="1" ht="18" customHeight="1">
      <c r="A36" s="80"/>
      <c r="B36" s="80"/>
      <c r="C36" s="529"/>
      <c r="D36" s="80"/>
      <c r="E36" s="555"/>
      <c r="F36" s="80"/>
      <c r="H36" s="80"/>
    </row>
    <row r="37" spans="3:5" s="80" customFormat="1" ht="19.5" customHeight="1">
      <c r="C37" s="529"/>
      <c r="E37" s="555"/>
    </row>
    <row r="38" spans="3:5" s="80" customFormat="1" ht="15">
      <c r="C38" s="529"/>
      <c r="E38" s="555"/>
    </row>
    <row r="39" spans="3:5" s="80" customFormat="1" ht="15">
      <c r="C39" s="529"/>
      <c r="E39" s="555"/>
    </row>
    <row r="40" spans="3:5" s="80" customFormat="1" ht="15">
      <c r="C40" s="529"/>
      <c r="E40" s="555"/>
    </row>
    <row r="41" spans="3:5" s="80" customFormat="1" ht="15">
      <c r="C41" s="529"/>
      <c r="E41" s="555"/>
    </row>
    <row r="42" spans="3:5" s="80" customFormat="1" ht="15">
      <c r="C42" s="529"/>
      <c r="E42" s="555"/>
    </row>
    <row r="43" spans="3:5" s="80" customFormat="1" ht="15">
      <c r="C43" s="529"/>
      <c r="E43" s="555"/>
    </row>
    <row r="44" spans="3:5" s="80" customFormat="1" ht="15">
      <c r="C44" s="529"/>
      <c r="E44" s="555"/>
    </row>
    <row r="45" spans="3:5" s="80" customFormat="1" ht="15">
      <c r="C45" s="529"/>
      <c r="E45" s="555"/>
    </row>
    <row r="46" spans="3:5" s="80" customFormat="1" ht="15">
      <c r="C46" s="529"/>
      <c r="E46" s="555"/>
    </row>
    <row r="47" spans="3:5" s="80" customFormat="1" ht="15">
      <c r="C47" s="529"/>
      <c r="E47" s="555"/>
    </row>
    <row r="48" spans="3:5" s="80" customFormat="1" ht="15">
      <c r="C48" s="529"/>
      <c r="E48" s="555"/>
    </row>
    <row r="49" spans="3:5" s="80" customFormat="1" ht="15">
      <c r="C49" s="529"/>
      <c r="E49" s="555"/>
    </row>
    <row r="50" spans="3:5" s="80" customFormat="1" ht="15">
      <c r="C50" s="529"/>
      <c r="E50" s="555"/>
    </row>
    <row r="51" spans="3:5" s="80" customFormat="1" ht="15">
      <c r="C51" s="529"/>
      <c r="E51" s="555"/>
    </row>
    <row r="52" spans="3:5" s="80" customFormat="1" ht="15">
      <c r="C52" s="529"/>
      <c r="E52" s="555"/>
    </row>
    <row r="53" spans="3:5" s="80" customFormat="1" ht="15">
      <c r="C53" s="529"/>
      <c r="E53" s="555"/>
    </row>
    <row r="54" spans="3:5" s="80" customFormat="1" ht="15">
      <c r="C54" s="529"/>
      <c r="E54" s="555"/>
    </row>
    <row r="55" spans="3:5" s="80" customFormat="1" ht="15">
      <c r="C55" s="529"/>
      <c r="E55" s="555"/>
    </row>
    <row r="56" spans="3:5" s="80" customFormat="1" ht="15">
      <c r="C56" s="529"/>
      <c r="E56" s="555"/>
    </row>
    <row r="57" spans="3:5" s="80" customFormat="1" ht="15">
      <c r="C57" s="529"/>
      <c r="E57" s="555"/>
    </row>
    <row r="58" spans="3:5" s="80" customFormat="1" ht="15">
      <c r="C58" s="529"/>
      <c r="E58" s="555"/>
    </row>
    <row r="59" spans="3:5" s="80" customFormat="1" ht="15">
      <c r="C59" s="529"/>
      <c r="E59" s="555"/>
    </row>
    <row r="60" spans="3:5" s="80" customFormat="1" ht="15">
      <c r="C60" s="529"/>
      <c r="E60" s="555"/>
    </row>
    <row r="61" spans="3:5" s="80" customFormat="1" ht="15">
      <c r="C61" s="529"/>
      <c r="E61" s="555"/>
    </row>
    <row r="62" spans="3:5" s="80" customFormat="1" ht="15">
      <c r="C62" s="529"/>
      <c r="E62" s="555"/>
    </row>
    <row r="63" spans="3:5" s="80" customFormat="1" ht="15">
      <c r="C63" s="529"/>
      <c r="E63" s="555"/>
    </row>
    <row r="64" spans="3:5" s="80" customFormat="1" ht="15">
      <c r="C64" s="529"/>
      <c r="E64" s="555"/>
    </row>
    <row r="65" spans="3:5" s="80" customFormat="1" ht="15">
      <c r="C65" s="529"/>
      <c r="E65" s="555"/>
    </row>
    <row r="66" spans="3:5" s="80" customFormat="1" ht="15">
      <c r="C66" s="529"/>
      <c r="E66" s="555"/>
    </row>
    <row r="67" spans="3:5" s="80" customFormat="1" ht="15">
      <c r="C67" s="529"/>
      <c r="E67" s="555"/>
    </row>
    <row r="68" spans="3:5" s="80" customFormat="1" ht="15">
      <c r="C68" s="529"/>
      <c r="E68" s="555"/>
    </row>
    <row r="69" spans="3:5" s="80" customFormat="1" ht="15">
      <c r="C69" s="529"/>
      <c r="E69" s="555"/>
    </row>
    <row r="70" spans="3:5" s="80" customFormat="1" ht="15">
      <c r="C70" s="529"/>
      <c r="E70" s="555"/>
    </row>
    <row r="71" spans="3:5" s="80" customFormat="1" ht="15">
      <c r="C71" s="529"/>
      <c r="E71" s="555"/>
    </row>
    <row r="72" spans="3:5" s="80" customFormat="1" ht="15">
      <c r="C72" s="529"/>
      <c r="E72" s="555"/>
    </row>
    <row r="73" spans="3:5" s="80" customFormat="1" ht="15">
      <c r="C73" s="529"/>
      <c r="E73" s="555"/>
    </row>
    <row r="74" spans="3:5" s="80" customFormat="1" ht="15">
      <c r="C74" s="529"/>
      <c r="E74" s="555"/>
    </row>
    <row r="75" spans="3:5" s="80" customFormat="1" ht="15">
      <c r="C75" s="529"/>
      <c r="E75" s="555"/>
    </row>
    <row r="76" spans="3:5" s="80" customFormat="1" ht="15">
      <c r="C76" s="529"/>
      <c r="E76" s="555"/>
    </row>
    <row r="77" spans="3:5" s="80" customFormat="1" ht="15">
      <c r="C77" s="529"/>
      <c r="E77" s="555"/>
    </row>
    <row r="78" spans="3:5" s="80" customFormat="1" ht="15">
      <c r="C78" s="529"/>
      <c r="E78" s="555"/>
    </row>
    <row r="79" spans="3:5" s="80" customFormat="1" ht="15">
      <c r="C79" s="529"/>
      <c r="E79" s="555"/>
    </row>
    <row r="80" spans="3:5" s="80" customFormat="1" ht="18.75" customHeight="1">
      <c r="C80" s="529"/>
      <c r="E80" s="555"/>
    </row>
    <row r="81" spans="3:5" s="80" customFormat="1" ht="18" customHeight="1">
      <c r="C81" s="529"/>
      <c r="E81" s="555"/>
    </row>
    <row r="82" spans="3:5" s="80" customFormat="1" ht="18" customHeight="1">
      <c r="C82" s="529"/>
      <c r="E82" s="555"/>
    </row>
    <row r="83" spans="3:5" s="80" customFormat="1" ht="18.75" customHeight="1">
      <c r="C83" s="529"/>
      <c r="E83" s="555"/>
    </row>
    <row r="84" spans="3:5" s="80" customFormat="1" ht="18.75" customHeight="1">
      <c r="C84" s="529"/>
      <c r="E84" s="555"/>
    </row>
    <row r="85" spans="3:5" s="80" customFormat="1" ht="17.25" customHeight="1">
      <c r="C85" s="529"/>
      <c r="E85" s="555"/>
    </row>
    <row r="86" spans="3:5" s="80" customFormat="1" ht="19.5" customHeight="1">
      <c r="C86" s="529"/>
      <c r="E86" s="555"/>
    </row>
    <row r="87" spans="3:5" s="80" customFormat="1" ht="19.5" customHeight="1">
      <c r="C87" s="529"/>
      <c r="E87" s="555"/>
    </row>
    <row r="88" spans="3:5" s="80" customFormat="1" ht="15">
      <c r="C88" s="529"/>
      <c r="E88" s="555"/>
    </row>
    <row r="89" spans="3:5" s="80" customFormat="1" ht="18.75" customHeight="1">
      <c r="C89" s="529"/>
      <c r="E89" s="555"/>
    </row>
    <row r="90" spans="3:5" s="80" customFormat="1" ht="18.75" customHeight="1">
      <c r="C90" s="529"/>
      <c r="E90" s="555"/>
    </row>
    <row r="91" spans="3:5" s="80" customFormat="1" ht="18.75" customHeight="1">
      <c r="C91" s="529"/>
      <c r="E91" s="555"/>
    </row>
    <row r="92" spans="3:5" s="80" customFormat="1" ht="18.75" customHeight="1">
      <c r="C92" s="529"/>
      <c r="E92" s="555"/>
    </row>
    <row r="93" spans="3:5" s="80" customFormat="1" ht="19.5" customHeight="1">
      <c r="C93" s="529"/>
      <c r="E93" s="555"/>
    </row>
    <row r="94" spans="3:5" s="80" customFormat="1" ht="15">
      <c r="C94" s="529"/>
      <c r="E94" s="555"/>
    </row>
    <row r="95" spans="3:5" s="80" customFormat="1" ht="15">
      <c r="C95" s="529"/>
      <c r="E95" s="555"/>
    </row>
    <row r="96" spans="3:5" s="80" customFormat="1" ht="15">
      <c r="C96" s="529"/>
      <c r="E96" s="555"/>
    </row>
    <row r="97" spans="3:5" s="80" customFormat="1" ht="15">
      <c r="C97" s="529"/>
      <c r="E97" s="555"/>
    </row>
    <row r="98" spans="3:5" s="80" customFormat="1" ht="15">
      <c r="C98" s="529"/>
      <c r="E98" s="555"/>
    </row>
    <row r="99" spans="3:5" s="80" customFormat="1" ht="15">
      <c r="C99" s="529"/>
      <c r="E99" s="555"/>
    </row>
    <row r="100" spans="3:5" s="80" customFormat="1" ht="15">
      <c r="C100" s="529"/>
      <c r="E100" s="555"/>
    </row>
    <row r="101" spans="3:5" s="80" customFormat="1" ht="15">
      <c r="C101" s="529"/>
      <c r="E101" s="555"/>
    </row>
    <row r="102" spans="3:5" s="80" customFormat="1" ht="15">
      <c r="C102" s="529"/>
      <c r="E102" s="555"/>
    </row>
    <row r="103" spans="3:5" s="80" customFormat="1" ht="15">
      <c r="C103" s="529"/>
      <c r="E103" s="555"/>
    </row>
    <row r="104" spans="3:5" s="80" customFormat="1" ht="15">
      <c r="C104" s="529"/>
      <c r="E104" s="555"/>
    </row>
    <row r="105" spans="3:5" s="80" customFormat="1" ht="15">
      <c r="C105" s="529"/>
      <c r="E105" s="555"/>
    </row>
    <row r="106" spans="3:5" s="80" customFormat="1" ht="15">
      <c r="C106" s="529"/>
      <c r="E106" s="555"/>
    </row>
    <row r="107" spans="3:5" s="80" customFormat="1" ht="15">
      <c r="C107" s="529"/>
      <c r="E107" s="555"/>
    </row>
    <row r="108" spans="3:5" s="80" customFormat="1" ht="15">
      <c r="C108" s="529"/>
      <c r="E108" s="555"/>
    </row>
    <row r="109" spans="3:5" s="80" customFormat="1" ht="15">
      <c r="C109" s="529"/>
      <c r="E109" s="555"/>
    </row>
    <row r="110" spans="1:6" s="80" customFormat="1" ht="18.75">
      <c r="A110" s="530"/>
      <c r="B110" s="530"/>
      <c r="C110" s="531"/>
      <c r="D110" s="7"/>
      <c r="E110" s="530"/>
      <c r="F110" s="7"/>
    </row>
    <row r="111" spans="1:8" s="7" customFormat="1" ht="18.75">
      <c r="A111" s="530"/>
      <c r="B111" s="530"/>
      <c r="C111" s="531"/>
      <c r="E111" s="530"/>
      <c r="H111" s="80"/>
    </row>
    <row r="112" spans="1:8" s="7" customFormat="1" ht="18.75">
      <c r="A112" s="530"/>
      <c r="B112" s="530"/>
      <c r="C112" s="531"/>
      <c r="E112" s="530"/>
      <c r="H112" s="80"/>
    </row>
    <row r="113" spans="1:8" s="7" customFormat="1" ht="18.75">
      <c r="A113" s="530"/>
      <c r="B113" s="530"/>
      <c r="C113" s="531"/>
      <c r="E113" s="530"/>
      <c r="H113" s="80"/>
    </row>
    <row r="114" spans="1:8" s="7" customFormat="1" ht="18.75">
      <c r="A114" s="530"/>
      <c r="B114" s="530"/>
      <c r="C114" s="531"/>
      <c r="E114" s="530"/>
      <c r="H114" s="80"/>
    </row>
    <row r="115" spans="1:8" s="7" customFormat="1" ht="18.75">
      <c r="A115" s="530"/>
      <c r="B115" s="530"/>
      <c r="C115" s="531"/>
      <c r="E115" s="530"/>
      <c r="H115" s="80"/>
    </row>
    <row r="116" spans="1:8" s="7" customFormat="1" ht="18.75">
      <c r="A116" s="530"/>
      <c r="B116" s="530"/>
      <c r="C116" s="531"/>
      <c r="E116" s="530"/>
      <c r="H116" s="80"/>
    </row>
    <row r="117" spans="1:8" s="7" customFormat="1" ht="18.75">
      <c r="A117" s="530"/>
      <c r="B117" s="530"/>
      <c r="C117" s="531"/>
      <c r="E117" s="530"/>
      <c r="H117" s="80"/>
    </row>
    <row r="118" spans="1:8" s="7" customFormat="1" ht="18.75">
      <c r="A118" s="530"/>
      <c r="B118" s="530"/>
      <c r="C118" s="531"/>
      <c r="E118" s="530"/>
      <c r="H118" s="80"/>
    </row>
    <row r="119" spans="1:8" s="7" customFormat="1" ht="18.75">
      <c r="A119" s="530"/>
      <c r="B119" s="530"/>
      <c r="C119" s="531"/>
      <c r="E119" s="530"/>
      <c r="H119" s="80"/>
    </row>
    <row r="120" spans="1:8" s="7" customFormat="1" ht="18.75">
      <c r="A120" s="530"/>
      <c r="B120" s="530"/>
      <c r="C120" s="531"/>
      <c r="E120" s="530"/>
      <c r="H120" s="80"/>
    </row>
    <row r="121" spans="1:8" s="7" customFormat="1" ht="18.75">
      <c r="A121" s="530"/>
      <c r="B121" s="530"/>
      <c r="C121" s="531"/>
      <c r="E121" s="530"/>
      <c r="H121" s="80"/>
    </row>
    <row r="122" spans="1:8" s="7" customFormat="1" ht="18.75">
      <c r="A122" s="530"/>
      <c r="B122" s="530"/>
      <c r="C122" s="531"/>
      <c r="E122" s="530"/>
      <c r="H122" s="80"/>
    </row>
    <row r="123" spans="1:8" s="7" customFormat="1" ht="18.75">
      <c r="A123" s="530"/>
      <c r="B123" s="530"/>
      <c r="C123" s="531"/>
      <c r="E123" s="530"/>
      <c r="H123" s="80"/>
    </row>
    <row r="124" spans="1:8" s="7" customFormat="1" ht="18.75">
      <c r="A124" s="530"/>
      <c r="B124" s="530"/>
      <c r="C124" s="531"/>
      <c r="E124" s="530"/>
      <c r="H124" s="80"/>
    </row>
    <row r="125" spans="1:8" s="7" customFormat="1" ht="18.75">
      <c r="A125" s="530"/>
      <c r="B125" s="530"/>
      <c r="C125" s="531"/>
      <c r="E125" s="530"/>
      <c r="H125" s="80"/>
    </row>
    <row r="126" spans="1:8" s="7" customFormat="1" ht="18.75">
      <c r="A126" s="530"/>
      <c r="B126" s="530"/>
      <c r="C126" s="531"/>
      <c r="E126" s="530"/>
      <c r="H126" s="80"/>
    </row>
    <row r="127" spans="1:8" s="7" customFormat="1" ht="18.75">
      <c r="A127" s="530"/>
      <c r="B127" s="530"/>
      <c r="C127" s="531"/>
      <c r="E127" s="530"/>
      <c r="H127" s="80"/>
    </row>
    <row r="128" spans="1:8" s="7" customFormat="1" ht="18.75">
      <c r="A128" s="530"/>
      <c r="B128" s="530"/>
      <c r="C128" s="531"/>
      <c r="E128" s="530"/>
      <c r="H128" s="80"/>
    </row>
    <row r="129" spans="1:8" s="7" customFormat="1" ht="18.75">
      <c r="A129" s="530"/>
      <c r="B129" s="530"/>
      <c r="C129" s="531"/>
      <c r="E129" s="530"/>
      <c r="H129" s="80"/>
    </row>
    <row r="130" spans="1:8" s="7" customFormat="1" ht="18.75">
      <c r="A130" s="530"/>
      <c r="B130" s="530"/>
      <c r="C130" s="531"/>
      <c r="E130" s="530"/>
      <c r="H130" s="80"/>
    </row>
    <row r="131" spans="1:8" s="7" customFormat="1" ht="18.75">
      <c r="A131" s="530"/>
      <c r="B131" s="530"/>
      <c r="C131" s="531"/>
      <c r="E131" s="530"/>
      <c r="H131" s="80"/>
    </row>
    <row r="132" spans="1:8" s="7" customFormat="1" ht="18.75">
      <c r="A132" s="530"/>
      <c r="B132" s="530"/>
      <c r="C132" s="531"/>
      <c r="E132" s="530"/>
      <c r="H132" s="80"/>
    </row>
    <row r="133" spans="1:8" s="7" customFormat="1" ht="18.75">
      <c r="A133" s="530"/>
      <c r="B133" s="530"/>
      <c r="C133" s="531"/>
      <c r="E133" s="530"/>
      <c r="H133" s="80"/>
    </row>
    <row r="134" spans="1:8" s="7" customFormat="1" ht="18.75">
      <c r="A134" s="530"/>
      <c r="B134" s="530"/>
      <c r="C134" s="531"/>
      <c r="E134" s="530"/>
      <c r="H134" s="80"/>
    </row>
    <row r="135" spans="1:8" s="7" customFormat="1" ht="18.75">
      <c r="A135" s="530"/>
      <c r="B135" s="530"/>
      <c r="C135" s="531"/>
      <c r="E135" s="530"/>
      <c r="H135" s="80"/>
    </row>
    <row r="136" spans="1:8" s="7" customFormat="1" ht="18.75">
      <c r="A136" s="530"/>
      <c r="B136" s="530"/>
      <c r="C136" s="531"/>
      <c r="E136" s="530"/>
      <c r="H136" s="80"/>
    </row>
    <row r="137" spans="1:8" s="7" customFormat="1" ht="18.75">
      <c r="A137" s="530"/>
      <c r="B137" s="530"/>
      <c r="C137" s="531"/>
      <c r="E137" s="530"/>
      <c r="H137" s="80"/>
    </row>
    <row r="138" spans="1:8" s="7" customFormat="1" ht="18.75">
      <c r="A138" s="530"/>
      <c r="B138" s="530"/>
      <c r="C138" s="531"/>
      <c r="E138" s="530"/>
      <c r="H138" s="80"/>
    </row>
    <row r="139" spans="1:8" s="7" customFormat="1" ht="18.75">
      <c r="A139" s="530"/>
      <c r="B139" s="530"/>
      <c r="C139" s="531"/>
      <c r="E139" s="530"/>
      <c r="H139" s="80"/>
    </row>
    <row r="140" spans="1:8" s="7" customFormat="1" ht="18.75">
      <c r="A140" s="530"/>
      <c r="B140" s="530"/>
      <c r="C140" s="531"/>
      <c r="E140" s="530"/>
      <c r="H140" s="80"/>
    </row>
    <row r="141" spans="1:8" s="7" customFormat="1" ht="18.75">
      <c r="A141" s="530"/>
      <c r="B141" s="530"/>
      <c r="C141" s="531"/>
      <c r="E141" s="530"/>
      <c r="H141" s="80"/>
    </row>
    <row r="142" spans="1:8" s="7" customFormat="1" ht="18.75">
      <c r="A142" s="530"/>
      <c r="B142" s="530"/>
      <c r="C142" s="531"/>
      <c r="E142" s="530"/>
      <c r="H142" s="80"/>
    </row>
    <row r="143" spans="1:8" s="7" customFormat="1" ht="18.75">
      <c r="A143" s="530"/>
      <c r="B143" s="530"/>
      <c r="C143" s="531"/>
      <c r="E143" s="530"/>
      <c r="H143" s="80"/>
    </row>
    <row r="144" spans="1:8" s="7" customFormat="1" ht="18.75">
      <c r="A144" s="530"/>
      <c r="B144" s="530"/>
      <c r="C144" s="531"/>
      <c r="E144" s="530"/>
      <c r="H144" s="80"/>
    </row>
    <row r="145" spans="1:8" s="7" customFormat="1" ht="18.75">
      <c r="A145" s="530"/>
      <c r="B145" s="530"/>
      <c r="C145" s="531"/>
      <c r="E145" s="530"/>
      <c r="H145" s="80"/>
    </row>
    <row r="146" spans="1:8" s="7" customFormat="1" ht="18.75">
      <c r="A146" s="530"/>
      <c r="B146" s="530"/>
      <c r="C146" s="531"/>
      <c r="E146" s="530"/>
      <c r="H146" s="80"/>
    </row>
    <row r="147" spans="1:8" s="7" customFormat="1" ht="18.75">
      <c r="A147" s="530"/>
      <c r="B147" s="530"/>
      <c r="C147" s="531"/>
      <c r="E147" s="530"/>
      <c r="H147" s="80"/>
    </row>
    <row r="148" spans="1:8" s="7" customFormat="1" ht="18.75">
      <c r="A148" s="530"/>
      <c r="B148" s="530"/>
      <c r="C148" s="531"/>
      <c r="E148" s="530"/>
      <c r="H148" s="80"/>
    </row>
    <row r="149" spans="1:8" s="7" customFormat="1" ht="18.75">
      <c r="A149" s="530"/>
      <c r="B149" s="530"/>
      <c r="C149" s="531"/>
      <c r="E149" s="530"/>
      <c r="H149" s="80"/>
    </row>
    <row r="150" spans="1:8" s="7" customFormat="1" ht="18.75">
      <c r="A150" s="530"/>
      <c r="B150" s="530"/>
      <c r="C150" s="531"/>
      <c r="E150" s="530"/>
      <c r="H150" s="80"/>
    </row>
    <row r="151" spans="1:8" s="7" customFormat="1" ht="18.75">
      <c r="A151" s="530"/>
      <c r="B151" s="530"/>
      <c r="C151" s="531"/>
      <c r="E151" s="530"/>
      <c r="H151" s="80"/>
    </row>
    <row r="152" spans="1:8" s="7" customFormat="1" ht="18.75">
      <c r="A152" s="530"/>
      <c r="B152" s="530"/>
      <c r="C152" s="531"/>
      <c r="E152" s="530"/>
      <c r="H152" s="80"/>
    </row>
    <row r="153" spans="1:8" s="7" customFormat="1" ht="18.75">
      <c r="A153" s="530"/>
      <c r="B153" s="530"/>
      <c r="C153" s="531"/>
      <c r="E153" s="530"/>
      <c r="H153" s="80"/>
    </row>
    <row r="154" spans="1:8" s="7" customFormat="1" ht="18.75">
      <c r="A154" s="530"/>
      <c r="B154" s="530"/>
      <c r="C154" s="531"/>
      <c r="E154" s="530"/>
      <c r="H154" s="80"/>
    </row>
    <row r="155" spans="1:8" s="7" customFormat="1" ht="18.75">
      <c r="A155" s="530"/>
      <c r="B155" s="530"/>
      <c r="C155" s="531"/>
      <c r="E155" s="530"/>
      <c r="H155" s="80"/>
    </row>
    <row r="156" spans="1:8" s="7" customFormat="1" ht="18.75">
      <c r="A156" s="530"/>
      <c r="B156" s="530"/>
      <c r="C156" s="531"/>
      <c r="E156" s="530"/>
      <c r="H156" s="80"/>
    </row>
    <row r="157" spans="1:8" s="7" customFormat="1" ht="18.75">
      <c r="A157" s="530"/>
      <c r="B157" s="530"/>
      <c r="C157" s="531"/>
      <c r="E157" s="530"/>
      <c r="H157" s="80"/>
    </row>
    <row r="158" spans="1:8" s="7" customFormat="1" ht="18.75">
      <c r="A158" s="530"/>
      <c r="B158" s="530"/>
      <c r="C158" s="531"/>
      <c r="E158" s="530"/>
      <c r="H158" s="80"/>
    </row>
    <row r="159" spans="1:8" s="7" customFormat="1" ht="18.75">
      <c r="A159" s="530"/>
      <c r="B159" s="530"/>
      <c r="C159" s="531"/>
      <c r="E159" s="530"/>
      <c r="H159" s="80"/>
    </row>
    <row r="160" spans="1:8" s="7" customFormat="1" ht="18.75">
      <c r="A160" s="530"/>
      <c r="B160" s="530"/>
      <c r="C160" s="531"/>
      <c r="E160" s="530"/>
      <c r="H160" s="80"/>
    </row>
    <row r="161" spans="1:8" s="7" customFormat="1" ht="18.75">
      <c r="A161" s="530"/>
      <c r="B161" s="530"/>
      <c r="C161" s="531"/>
      <c r="E161" s="530"/>
      <c r="H161" s="80"/>
    </row>
    <row r="162" spans="1:8" s="7" customFormat="1" ht="18.75">
      <c r="A162" s="530"/>
      <c r="B162" s="530"/>
      <c r="C162" s="531"/>
      <c r="E162" s="530"/>
      <c r="H162" s="80"/>
    </row>
    <row r="163" spans="1:8" s="7" customFormat="1" ht="18.75">
      <c r="A163" s="530"/>
      <c r="B163" s="530"/>
      <c r="C163" s="531"/>
      <c r="E163" s="530"/>
      <c r="H163" s="80"/>
    </row>
    <row r="164" spans="1:8" s="7" customFormat="1" ht="18.75">
      <c r="A164" s="530"/>
      <c r="B164" s="530"/>
      <c r="C164" s="531"/>
      <c r="E164" s="530"/>
      <c r="H164" s="80"/>
    </row>
    <row r="165" spans="1:8" s="7" customFormat="1" ht="18.75">
      <c r="A165" s="530"/>
      <c r="B165" s="530"/>
      <c r="C165" s="531"/>
      <c r="E165" s="530"/>
      <c r="H165" s="80"/>
    </row>
    <row r="166" spans="1:8" s="7" customFormat="1" ht="18.75">
      <c r="A166" s="530"/>
      <c r="B166" s="530"/>
      <c r="C166" s="531"/>
      <c r="E166" s="530"/>
      <c r="H166" s="80"/>
    </row>
    <row r="167" spans="1:8" s="7" customFormat="1" ht="18.75">
      <c r="A167" s="530"/>
      <c r="B167" s="530"/>
      <c r="C167" s="531"/>
      <c r="E167" s="530"/>
      <c r="H167" s="80"/>
    </row>
    <row r="168" spans="1:8" s="7" customFormat="1" ht="18.75">
      <c r="A168" s="530"/>
      <c r="B168" s="530"/>
      <c r="C168" s="531"/>
      <c r="E168" s="530"/>
      <c r="H168" s="80"/>
    </row>
    <row r="169" spans="1:8" s="7" customFormat="1" ht="18.75">
      <c r="A169" s="530"/>
      <c r="B169" s="530"/>
      <c r="C169" s="531"/>
      <c r="E169" s="530"/>
      <c r="H169" s="80"/>
    </row>
    <row r="170" spans="1:8" s="7" customFormat="1" ht="18.75">
      <c r="A170" s="530"/>
      <c r="B170" s="530"/>
      <c r="C170" s="531"/>
      <c r="E170" s="530"/>
      <c r="H170" s="80"/>
    </row>
    <row r="171" spans="1:8" s="7" customFormat="1" ht="18.75">
      <c r="A171" s="530"/>
      <c r="B171" s="530"/>
      <c r="C171" s="531"/>
      <c r="E171" s="530"/>
      <c r="H171" s="80"/>
    </row>
    <row r="172" spans="1:8" s="7" customFormat="1" ht="18.75">
      <c r="A172" s="530"/>
      <c r="B172" s="530"/>
      <c r="C172" s="531"/>
      <c r="E172" s="530"/>
      <c r="H172" s="80"/>
    </row>
    <row r="173" spans="1:8" s="7" customFormat="1" ht="18.75">
      <c r="A173" s="530"/>
      <c r="B173" s="530"/>
      <c r="C173" s="531"/>
      <c r="E173" s="530"/>
      <c r="H173" s="80"/>
    </row>
    <row r="174" spans="1:8" s="7" customFormat="1" ht="18.75">
      <c r="A174" s="530"/>
      <c r="B174" s="530"/>
      <c r="C174" s="531"/>
      <c r="E174" s="530"/>
      <c r="H174" s="80"/>
    </row>
    <row r="175" spans="1:8" s="7" customFormat="1" ht="18.75">
      <c r="A175" s="530"/>
      <c r="B175" s="530"/>
      <c r="C175" s="531"/>
      <c r="E175" s="530"/>
      <c r="H175" s="80"/>
    </row>
    <row r="176" spans="1:8" s="7" customFormat="1" ht="18.75">
      <c r="A176" s="530"/>
      <c r="B176" s="530"/>
      <c r="C176" s="531"/>
      <c r="E176" s="530"/>
      <c r="H176" s="80"/>
    </row>
    <row r="177" spans="1:8" s="7" customFormat="1" ht="18.75">
      <c r="A177" s="530"/>
      <c r="B177" s="530"/>
      <c r="C177" s="531"/>
      <c r="E177" s="530"/>
      <c r="H177" s="80"/>
    </row>
    <row r="178" spans="1:8" s="7" customFormat="1" ht="18.75">
      <c r="A178" s="530"/>
      <c r="B178" s="530"/>
      <c r="C178" s="531"/>
      <c r="E178" s="530"/>
      <c r="H178" s="80"/>
    </row>
    <row r="179" spans="1:8" s="7" customFormat="1" ht="18.75">
      <c r="A179" s="530"/>
      <c r="B179" s="530"/>
      <c r="C179" s="531"/>
      <c r="E179" s="530"/>
      <c r="H179" s="80"/>
    </row>
    <row r="180" spans="1:8" s="7" customFormat="1" ht="18.75">
      <c r="A180" s="530"/>
      <c r="B180" s="530"/>
      <c r="C180" s="531"/>
      <c r="E180" s="530"/>
      <c r="H180" s="80"/>
    </row>
    <row r="181" spans="1:8" s="7" customFormat="1" ht="18.75">
      <c r="A181" s="530"/>
      <c r="B181" s="530"/>
      <c r="C181" s="531"/>
      <c r="E181" s="530"/>
      <c r="H181" s="80"/>
    </row>
    <row r="182" spans="1:8" s="7" customFormat="1" ht="18.75">
      <c r="A182" s="530"/>
      <c r="B182" s="530"/>
      <c r="C182" s="531"/>
      <c r="E182" s="530"/>
      <c r="H182" s="80"/>
    </row>
    <row r="183" spans="1:8" s="7" customFormat="1" ht="18.75">
      <c r="A183" s="530"/>
      <c r="B183" s="530"/>
      <c r="C183" s="531"/>
      <c r="E183" s="530"/>
      <c r="H183" s="80"/>
    </row>
    <row r="184" spans="1:8" s="7" customFormat="1" ht="18.75">
      <c r="A184" s="517"/>
      <c r="B184" s="517"/>
      <c r="C184" s="526"/>
      <c r="D184" s="519"/>
      <c r="E184" s="517"/>
      <c r="F184" s="519"/>
      <c r="H184" s="80"/>
    </row>
    <row r="185" spans="1:8" s="7" customFormat="1" ht="18.75">
      <c r="A185" s="517"/>
      <c r="B185" s="517"/>
      <c r="C185" s="526"/>
      <c r="D185" s="519"/>
      <c r="E185" s="517"/>
      <c r="F185" s="519"/>
      <c r="H185" s="80"/>
    </row>
    <row r="186" spans="1:8" s="7" customFormat="1" ht="18.75">
      <c r="A186" s="517"/>
      <c r="B186" s="517"/>
      <c r="C186" s="526"/>
      <c r="D186" s="519"/>
      <c r="E186" s="517"/>
      <c r="F186" s="519"/>
      <c r="H186" s="80"/>
    </row>
    <row r="187" spans="1:8" s="7" customFormat="1" ht="18.75">
      <c r="A187" s="517"/>
      <c r="B187" s="517"/>
      <c r="C187" s="526"/>
      <c r="D187" s="519"/>
      <c r="E187" s="517"/>
      <c r="F187" s="519"/>
      <c r="H187" s="80"/>
    </row>
    <row r="188" spans="1:8" s="7" customFormat="1" ht="18.75">
      <c r="A188" s="517"/>
      <c r="B188" s="517"/>
      <c r="C188" s="526"/>
      <c r="D188" s="519"/>
      <c r="E188" s="517"/>
      <c r="F188" s="519"/>
      <c r="H188" s="80"/>
    </row>
    <row r="189" spans="1:8" s="7" customFormat="1" ht="18.75">
      <c r="A189" s="517"/>
      <c r="B189" s="517"/>
      <c r="C189" s="526"/>
      <c r="D189" s="519"/>
      <c r="E189" s="517"/>
      <c r="F189" s="519"/>
      <c r="H189" s="80"/>
    </row>
    <row r="190" spans="1:8" s="7" customFormat="1" ht="18.75">
      <c r="A190" s="517"/>
      <c r="B190" s="517"/>
      <c r="C190" s="526"/>
      <c r="D190" s="519"/>
      <c r="E190" s="517"/>
      <c r="F190" s="519"/>
      <c r="H190" s="80"/>
    </row>
    <row r="191" spans="1:8" s="7" customFormat="1" ht="18.75">
      <c r="A191" s="517"/>
      <c r="B191" s="517"/>
      <c r="C191" s="526"/>
      <c r="D191" s="519"/>
      <c r="E191" s="517"/>
      <c r="F191" s="519"/>
      <c r="H191" s="80"/>
    </row>
    <row r="192" spans="1:8" s="7" customFormat="1" ht="18.75">
      <c r="A192" s="517"/>
      <c r="B192" s="517"/>
      <c r="C192" s="526"/>
      <c r="D192" s="519"/>
      <c r="E192" s="517"/>
      <c r="F192" s="519"/>
      <c r="H192" s="80"/>
    </row>
    <row r="193" spans="1:8" s="7" customFormat="1" ht="18.75">
      <c r="A193" s="517"/>
      <c r="B193" s="517"/>
      <c r="C193" s="526"/>
      <c r="D193" s="519"/>
      <c r="E193" s="517"/>
      <c r="F193" s="519"/>
      <c r="H193" s="80"/>
    </row>
    <row r="194" spans="1:8" s="7" customFormat="1" ht="18.75">
      <c r="A194" s="517"/>
      <c r="B194" s="517"/>
      <c r="C194" s="526"/>
      <c r="D194" s="519"/>
      <c r="E194" s="517"/>
      <c r="F194" s="519"/>
      <c r="H194" s="80"/>
    </row>
    <row r="195" spans="1:8" s="7" customFormat="1" ht="18.75">
      <c r="A195" s="517"/>
      <c r="B195" s="517"/>
      <c r="C195" s="526"/>
      <c r="D195" s="519"/>
      <c r="E195" s="517"/>
      <c r="F195" s="519"/>
      <c r="H195" s="80"/>
    </row>
    <row r="196" spans="1:8" s="7" customFormat="1" ht="18.75">
      <c r="A196" s="517"/>
      <c r="B196" s="517"/>
      <c r="C196" s="526"/>
      <c r="D196" s="519"/>
      <c r="E196" s="517"/>
      <c r="F196" s="519"/>
      <c r="H196" s="80"/>
    </row>
    <row r="197" spans="1:8" s="7" customFormat="1" ht="18.75">
      <c r="A197" s="517"/>
      <c r="B197" s="517"/>
      <c r="C197" s="526"/>
      <c r="D197" s="519"/>
      <c r="E197" s="517"/>
      <c r="F197" s="519"/>
      <c r="H197" s="80"/>
    </row>
    <row r="198" spans="1:8" s="7" customFormat="1" ht="18.75">
      <c r="A198" s="517"/>
      <c r="B198" s="517"/>
      <c r="C198" s="526"/>
      <c r="D198" s="519"/>
      <c r="E198" s="517"/>
      <c r="F198" s="519"/>
      <c r="H198" s="80"/>
    </row>
    <row r="199" spans="1:8" s="7" customFormat="1" ht="18.75">
      <c r="A199" s="517"/>
      <c r="B199" s="517"/>
      <c r="C199" s="526"/>
      <c r="D199" s="519"/>
      <c r="E199" s="517"/>
      <c r="F199" s="519"/>
      <c r="H199" s="80"/>
    </row>
    <row r="200" spans="1:8" s="7" customFormat="1" ht="18.75">
      <c r="A200" s="517"/>
      <c r="B200" s="517"/>
      <c r="C200" s="526"/>
      <c r="D200" s="519"/>
      <c r="E200" s="517"/>
      <c r="F200" s="519"/>
      <c r="H200" s="80"/>
    </row>
    <row r="201" spans="1:8" s="7" customFormat="1" ht="18.75">
      <c r="A201" s="517"/>
      <c r="B201" s="517"/>
      <c r="C201" s="526"/>
      <c r="D201" s="519"/>
      <c r="E201" s="517"/>
      <c r="F201" s="519"/>
      <c r="H201" s="80"/>
    </row>
    <row r="202" spans="1:8" s="7" customFormat="1" ht="18.75">
      <c r="A202" s="517"/>
      <c r="B202" s="517"/>
      <c r="C202" s="526"/>
      <c r="D202" s="519"/>
      <c r="E202" s="517"/>
      <c r="F202" s="519"/>
      <c r="H202" s="80"/>
    </row>
    <row r="203" spans="1:8" s="7" customFormat="1" ht="18.75">
      <c r="A203" s="517"/>
      <c r="B203" s="517"/>
      <c r="C203" s="526"/>
      <c r="D203" s="519"/>
      <c r="E203" s="517"/>
      <c r="F203" s="519"/>
      <c r="H203" s="80"/>
    </row>
    <row r="204" spans="1:8" s="7" customFormat="1" ht="18.75">
      <c r="A204" s="517"/>
      <c r="B204" s="517"/>
      <c r="C204" s="526"/>
      <c r="D204" s="519"/>
      <c r="E204" s="517"/>
      <c r="F204" s="519"/>
      <c r="H204" s="80"/>
    </row>
    <row r="205" spans="1:8" s="7" customFormat="1" ht="18.75">
      <c r="A205" s="517"/>
      <c r="B205" s="517"/>
      <c r="C205" s="526"/>
      <c r="D205" s="519"/>
      <c r="E205" s="517"/>
      <c r="F205" s="519"/>
      <c r="H205" s="80"/>
    </row>
    <row r="206" spans="1:8" s="7" customFormat="1" ht="18.75">
      <c r="A206" s="517"/>
      <c r="B206" s="517"/>
      <c r="C206" s="526"/>
      <c r="D206" s="519"/>
      <c r="E206" s="517"/>
      <c r="F206" s="519"/>
      <c r="H206" s="80"/>
    </row>
    <row r="207" spans="1:8" s="7" customFormat="1" ht="18.75">
      <c r="A207" s="517"/>
      <c r="B207" s="517"/>
      <c r="C207" s="526"/>
      <c r="D207" s="519"/>
      <c r="E207" s="517"/>
      <c r="F207" s="519"/>
      <c r="H207" s="80"/>
    </row>
    <row r="208" spans="1:8" s="7" customFormat="1" ht="18.75">
      <c r="A208" s="517"/>
      <c r="B208" s="517"/>
      <c r="C208" s="526"/>
      <c r="D208" s="519"/>
      <c r="E208" s="517"/>
      <c r="F208" s="519"/>
      <c r="H208" s="80"/>
    </row>
    <row r="209" spans="1:8" s="7" customFormat="1" ht="18.75">
      <c r="A209" s="517"/>
      <c r="B209" s="517"/>
      <c r="C209" s="526"/>
      <c r="D209" s="519"/>
      <c r="E209" s="517"/>
      <c r="F209" s="519"/>
      <c r="H209" s="80"/>
    </row>
    <row r="210" spans="1:8" s="7" customFormat="1" ht="18.75">
      <c r="A210" s="517"/>
      <c r="B210" s="517"/>
      <c r="C210" s="526"/>
      <c r="D210" s="519"/>
      <c r="E210" s="517"/>
      <c r="F210" s="519"/>
      <c r="H210" s="80"/>
    </row>
    <row r="211" spans="1:8" s="7" customFormat="1" ht="18.75">
      <c r="A211" s="517"/>
      <c r="B211" s="517"/>
      <c r="C211" s="526"/>
      <c r="D211" s="519"/>
      <c r="E211" s="517"/>
      <c r="F211" s="519"/>
      <c r="H211" s="80"/>
    </row>
    <row r="212" spans="1:8" s="7" customFormat="1" ht="18.75">
      <c r="A212" s="517"/>
      <c r="B212" s="517"/>
      <c r="C212" s="526"/>
      <c r="D212" s="519"/>
      <c r="E212" s="517"/>
      <c r="F212" s="519"/>
      <c r="H212" s="80"/>
    </row>
    <row r="213" spans="1:8" s="7" customFormat="1" ht="18.75">
      <c r="A213" s="517"/>
      <c r="B213" s="517"/>
      <c r="C213" s="526"/>
      <c r="D213" s="519"/>
      <c r="E213" s="517"/>
      <c r="F213" s="519"/>
      <c r="H213" s="80"/>
    </row>
    <row r="214" spans="1:8" s="7" customFormat="1" ht="18.75">
      <c r="A214" s="517"/>
      <c r="B214" s="517"/>
      <c r="C214" s="526"/>
      <c r="D214" s="519"/>
      <c r="E214" s="517"/>
      <c r="F214" s="519"/>
      <c r="H214" s="80"/>
    </row>
    <row r="215" spans="1:8" s="7" customFormat="1" ht="18.75">
      <c r="A215" s="517"/>
      <c r="B215" s="517"/>
      <c r="C215" s="526"/>
      <c r="D215" s="519"/>
      <c r="E215" s="517"/>
      <c r="F215" s="519"/>
      <c r="H215" s="80"/>
    </row>
    <row r="216" spans="1:8" s="7" customFormat="1" ht="18.75">
      <c r="A216" s="517"/>
      <c r="B216" s="517"/>
      <c r="C216" s="526"/>
      <c r="D216" s="519"/>
      <c r="E216" s="517"/>
      <c r="F216" s="519"/>
      <c r="H216" s="80"/>
    </row>
    <row r="217" spans="1:8" s="7" customFormat="1" ht="18.75">
      <c r="A217" s="517"/>
      <c r="B217" s="517"/>
      <c r="C217" s="526"/>
      <c r="D217" s="519"/>
      <c r="E217" s="517"/>
      <c r="F217" s="519"/>
      <c r="H217" s="80"/>
    </row>
    <row r="218" spans="1:8" s="7" customFormat="1" ht="18.75">
      <c r="A218" s="517"/>
      <c r="B218" s="517"/>
      <c r="C218" s="526"/>
      <c r="D218" s="519"/>
      <c r="E218" s="517"/>
      <c r="F218" s="519"/>
      <c r="H218" s="80"/>
    </row>
    <row r="219" spans="1:8" s="7" customFormat="1" ht="18.75">
      <c r="A219" s="517"/>
      <c r="B219" s="517"/>
      <c r="C219" s="526"/>
      <c r="D219" s="519"/>
      <c r="E219" s="517"/>
      <c r="F219" s="519"/>
      <c r="H219" s="80"/>
    </row>
    <row r="220" spans="1:8" s="7" customFormat="1" ht="18.75">
      <c r="A220" s="517"/>
      <c r="B220" s="517"/>
      <c r="C220" s="526"/>
      <c r="D220" s="519"/>
      <c r="E220" s="517"/>
      <c r="F220" s="519"/>
      <c r="H220" s="80"/>
    </row>
    <row r="221" spans="1:8" s="7" customFormat="1" ht="18.75">
      <c r="A221" s="517"/>
      <c r="B221" s="517"/>
      <c r="C221" s="526"/>
      <c r="D221" s="519"/>
      <c r="E221" s="517"/>
      <c r="F221" s="519"/>
      <c r="H221" s="80"/>
    </row>
    <row r="222" spans="1:8" s="7" customFormat="1" ht="18.75">
      <c r="A222" s="517"/>
      <c r="B222" s="517"/>
      <c r="C222" s="526"/>
      <c r="D222" s="519"/>
      <c r="E222" s="517"/>
      <c r="F222" s="519"/>
      <c r="H222" s="80"/>
    </row>
    <row r="223" spans="1:8" s="7" customFormat="1" ht="18.75">
      <c r="A223" s="517"/>
      <c r="B223" s="517"/>
      <c r="C223" s="526"/>
      <c r="D223" s="519"/>
      <c r="E223" s="517"/>
      <c r="F223" s="519"/>
      <c r="H223" s="80"/>
    </row>
    <row r="224" spans="1:8" s="7" customFormat="1" ht="18.75">
      <c r="A224" s="517"/>
      <c r="B224" s="517"/>
      <c r="C224" s="526"/>
      <c r="D224" s="519"/>
      <c r="E224" s="517"/>
      <c r="F224" s="519"/>
      <c r="H224" s="80"/>
    </row>
    <row r="225" spans="1:8" s="7" customFormat="1" ht="18.75">
      <c r="A225" s="517"/>
      <c r="B225" s="517"/>
      <c r="C225" s="526"/>
      <c r="D225" s="519"/>
      <c r="E225" s="517"/>
      <c r="F225" s="519"/>
      <c r="H225" s="80"/>
    </row>
    <row r="226" spans="1:8" s="7" customFormat="1" ht="18.75">
      <c r="A226" s="517"/>
      <c r="B226" s="517"/>
      <c r="C226" s="526"/>
      <c r="D226" s="519"/>
      <c r="E226" s="517"/>
      <c r="F226" s="519"/>
      <c r="H226" s="80"/>
    </row>
    <row r="227" spans="1:8" s="7" customFormat="1" ht="18.75">
      <c r="A227" s="517"/>
      <c r="B227" s="517"/>
      <c r="C227" s="526"/>
      <c r="D227" s="519"/>
      <c r="E227" s="517"/>
      <c r="F227" s="519"/>
      <c r="H227" s="80"/>
    </row>
    <row r="228" spans="1:8" s="7" customFormat="1" ht="18.75">
      <c r="A228" s="517"/>
      <c r="B228" s="517"/>
      <c r="C228" s="526"/>
      <c r="D228" s="519"/>
      <c r="E228" s="517"/>
      <c r="F228" s="519"/>
      <c r="H228" s="80"/>
    </row>
    <row r="229" spans="1:8" s="7" customFormat="1" ht="18.75">
      <c r="A229" s="517"/>
      <c r="B229" s="517"/>
      <c r="C229" s="526"/>
      <c r="D229" s="519"/>
      <c r="E229" s="517"/>
      <c r="F229" s="519"/>
      <c r="H229" s="80"/>
    </row>
    <row r="230" spans="1:8" s="7" customFormat="1" ht="18.75">
      <c r="A230" s="517"/>
      <c r="B230" s="517"/>
      <c r="C230" s="526"/>
      <c r="D230" s="519"/>
      <c r="E230" s="517"/>
      <c r="F230" s="519"/>
      <c r="H230" s="80"/>
    </row>
    <row r="231" spans="1:8" s="7" customFormat="1" ht="18.75">
      <c r="A231" s="517"/>
      <c r="B231" s="517"/>
      <c r="C231" s="526"/>
      <c r="D231" s="519"/>
      <c r="E231" s="517"/>
      <c r="F231" s="519"/>
      <c r="H231" s="80"/>
    </row>
    <row r="232" spans="1:8" s="7" customFormat="1" ht="18.75">
      <c r="A232" s="517"/>
      <c r="B232" s="517"/>
      <c r="C232" s="526"/>
      <c r="D232" s="519"/>
      <c r="E232" s="517"/>
      <c r="F232" s="519"/>
      <c r="H232" s="80"/>
    </row>
    <row r="233" spans="1:8" s="7" customFormat="1" ht="18.75">
      <c r="A233" s="517"/>
      <c r="B233" s="517"/>
      <c r="C233" s="526"/>
      <c r="D233" s="519"/>
      <c r="E233" s="517"/>
      <c r="F233" s="519"/>
      <c r="H233" s="80"/>
    </row>
    <row r="234" spans="1:8" s="7" customFormat="1" ht="18.75">
      <c r="A234" s="517"/>
      <c r="B234" s="517"/>
      <c r="C234" s="526"/>
      <c r="D234" s="519"/>
      <c r="E234" s="517"/>
      <c r="F234" s="519"/>
      <c r="H234" s="80"/>
    </row>
    <row r="235" spans="1:8" s="7" customFormat="1" ht="18.75">
      <c r="A235" s="517"/>
      <c r="B235" s="517"/>
      <c r="C235" s="526"/>
      <c r="D235" s="519"/>
      <c r="E235" s="517"/>
      <c r="F235" s="519"/>
      <c r="H235" s="80"/>
    </row>
    <row r="236" spans="1:8" s="7" customFormat="1" ht="18.75">
      <c r="A236" s="517"/>
      <c r="B236" s="517"/>
      <c r="C236" s="526"/>
      <c r="D236" s="519"/>
      <c r="E236" s="517"/>
      <c r="F236" s="519"/>
      <c r="H236" s="80"/>
    </row>
    <row r="237" spans="1:8" s="7" customFormat="1" ht="18.75">
      <c r="A237" s="517"/>
      <c r="B237" s="517"/>
      <c r="C237" s="526"/>
      <c r="D237" s="519"/>
      <c r="E237" s="517"/>
      <c r="F237" s="519"/>
      <c r="H237" s="80"/>
    </row>
    <row r="238" spans="1:8" s="7" customFormat="1" ht="18.75">
      <c r="A238" s="517"/>
      <c r="B238" s="517"/>
      <c r="C238" s="526"/>
      <c r="D238" s="519"/>
      <c r="E238" s="517"/>
      <c r="F238" s="519"/>
      <c r="H238" s="80"/>
    </row>
    <row r="239" spans="1:8" s="7" customFormat="1" ht="18.75">
      <c r="A239" s="517"/>
      <c r="B239" s="517"/>
      <c r="C239" s="526"/>
      <c r="D239" s="519"/>
      <c r="E239" s="517"/>
      <c r="F239" s="519"/>
      <c r="H239" s="80"/>
    </row>
    <row r="240" spans="1:8" s="7" customFormat="1" ht="18.75">
      <c r="A240" s="517"/>
      <c r="B240" s="517"/>
      <c r="C240" s="526"/>
      <c r="D240" s="519"/>
      <c r="E240" s="517"/>
      <c r="F240" s="519"/>
      <c r="H240" s="80"/>
    </row>
    <row r="241" spans="1:8" s="7" customFormat="1" ht="18.75">
      <c r="A241" s="517"/>
      <c r="B241" s="517"/>
      <c r="C241" s="526"/>
      <c r="D241" s="519"/>
      <c r="E241" s="517"/>
      <c r="F241" s="519"/>
      <c r="H241" s="80"/>
    </row>
    <row r="242" ht="18.75">
      <c r="G242" s="519"/>
    </row>
  </sheetData>
  <sheetProtection/>
  <printOptions/>
  <pageMargins left="0.44" right="0.32" top="0.43" bottom="0.38" header="0.5" footer="0.3"/>
  <pageSetup horizontalDpi="600" verticalDpi="600" orientation="landscape" paperSize="9" r:id="rId1"/>
  <rowBreaks count="1" manualBreakCount="1">
    <brk id="10" max="5" man="1"/>
  </rowBreaks>
</worksheet>
</file>

<file path=xl/worksheets/sheet11.xml><?xml version="1.0" encoding="utf-8"?>
<worksheet xmlns="http://schemas.openxmlformats.org/spreadsheetml/2006/main" xmlns:r="http://schemas.openxmlformats.org/officeDocument/2006/relationships">
  <sheetPr>
    <tabColor indexed="14"/>
  </sheetPr>
  <dimension ref="A1:BC104"/>
  <sheetViews>
    <sheetView zoomScalePageLayoutView="0" workbookViewId="0" topLeftCell="A1">
      <pane xSplit="1" ySplit="3" topLeftCell="B4" activePane="bottomRight" state="frozen"/>
      <selection pane="topLeft" activeCell="L32" sqref="L32"/>
      <selection pane="topRight" activeCell="L32" sqref="L32"/>
      <selection pane="bottomLeft" activeCell="L32" sqref="L32"/>
      <selection pane="bottomRight" activeCell="Y24" sqref="Y24"/>
    </sheetView>
  </sheetViews>
  <sheetFormatPr defaultColWidth="9.140625" defaultRowHeight="15.75" customHeight="1"/>
  <cols>
    <col min="1" max="1" width="17.8515625" style="7" customWidth="1"/>
    <col min="2" max="2" width="4.140625" style="7" customWidth="1"/>
    <col min="3" max="3" width="8.140625" style="264" customWidth="1"/>
    <col min="4" max="4" width="4.421875" style="264" customWidth="1"/>
    <col min="5" max="5" width="6.7109375" style="264" bestFit="1" customWidth="1"/>
    <col min="6" max="6" width="4.140625" style="7" customWidth="1"/>
    <col min="7" max="7" width="8.28125" style="264" bestFit="1" customWidth="1"/>
    <col min="8" max="8" width="4.28125" style="7" customWidth="1"/>
    <col min="9" max="9" width="8.28125" style="264" bestFit="1" customWidth="1"/>
    <col min="10" max="10" width="4.7109375" style="7" bestFit="1" customWidth="1"/>
    <col min="11" max="11" width="8.00390625" style="264" customWidth="1"/>
    <col min="12" max="12" width="4.421875" style="7" customWidth="1"/>
    <col min="13" max="13" width="8.28125" style="264" bestFit="1" customWidth="1"/>
    <col min="14" max="14" width="4.140625" style="7" bestFit="1" customWidth="1"/>
    <col min="15" max="15" width="8.28125" style="256" bestFit="1" customWidth="1"/>
    <col min="16" max="16" width="4.57421875" style="90" customWidth="1"/>
    <col min="17" max="17" width="6.7109375" style="256" bestFit="1" customWidth="1"/>
    <col min="18" max="18" width="4.7109375" style="90" bestFit="1" customWidth="1"/>
    <col min="19" max="19" width="8.28125" style="256" bestFit="1" customWidth="1"/>
    <col min="20" max="20" width="4.140625" style="7" customWidth="1"/>
    <col min="21" max="21" width="8.28125" style="264" bestFit="1" customWidth="1"/>
    <col min="22" max="22" width="4.140625" style="7" bestFit="1" customWidth="1"/>
    <col min="23" max="23" width="8.28125" style="264" bestFit="1" customWidth="1"/>
    <col min="24" max="24" width="5.421875" style="7" customWidth="1"/>
    <col min="25" max="25" width="9.28125" style="264" customWidth="1"/>
    <col min="26" max="26" width="11.00390625" style="0" customWidth="1"/>
    <col min="27" max="27" width="5.421875" style="0" customWidth="1"/>
    <col min="28" max="28" width="9.421875" style="0" customWidth="1"/>
    <col min="29" max="29" width="5.8515625" style="0" customWidth="1"/>
    <col min="30" max="30" width="16.28125" style="0" customWidth="1"/>
    <col min="31" max="31" width="5.00390625" style="0" customWidth="1"/>
    <col min="32" max="32" width="8.00390625" style="0" customWidth="1"/>
    <col min="33" max="33" width="4.7109375" style="0" customWidth="1"/>
    <col min="34" max="34" width="7.57421875" style="0" customWidth="1"/>
    <col min="35" max="35" width="4.421875" style="0" customWidth="1"/>
    <col min="36" max="36" width="7.00390625" style="0" customWidth="1"/>
    <col min="37" max="37" width="4.8515625" style="0" customWidth="1"/>
    <col min="38" max="38" width="7.140625" style="0" customWidth="1"/>
    <col min="39" max="39" width="4.8515625" style="0" customWidth="1"/>
    <col min="40" max="40" width="7.28125" style="0" customWidth="1"/>
    <col min="41" max="41" width="4.421875" style="0" customWidth="1"/>
    <col min="42" max="42" width="7.00390625" style="0" customWidth="1"/>
    <col min="43" max="43" width="4.57421875" style="0" customWidth="1"/>
    <col min="45" max="45" width="4.57421875" style="0" customWidth="1"/>
    <col min="46" max="46" width="7.7109375" style="0" customWidth="1"/>
    <col min="47" max="47" width="4.7109375" style="0" customWidth="1"/>
    <col min="48" max="48" width="6.57421875" style="0" customWidth="1"/>
    <col min="49" max="49" width="5.28125" style="0" customWidth="1"/>
    <col min="52" max="52" width="5.57421875" style="0" customWidth="1"/>
    <col min="56" max="16384" width="9.140625" style="7" customWidth="1"/>
  </cols>
  <sheetData>
    <row r="1" spans="1:25" ht="25.5" customHeight="1" thickBot="1">
      <c r="A1" s="161" t="s">
        <v>400</v>
      </c>
      <c r="C1" s="256"/>
      <c r="D1" s="256"/>
      <c r="E1" s="256"/>
      <c r="J1" s="90"/>
      <c r="K1" s="256"/>
      <c r="T1" s="90"/>
      <c r="V1" s="108"/>
      <c r="W1" s="268"/>
      <c r="X1" s="108"/>
      <c r="Y1" s="269" t="s">
        <v>121</v>
      </c>
    </row>
    <row r="2" spans="1:25" ht="68.25" customHeight="1" thickBot="1">
      <c r="A2" s="1248" t="s">
        <v>1</v>
      </c>
      <c r="B2" s="1250" t="s">
        <v>63</v>
      </c>
      <c r="C2" s="1250"/>
      <c r="D2" s="1251" t="s">
        <v>65</v>
      </c>
      <c r="E2" s="1251"/>
      <c r="F2" s="1251" t="s">
        <v>76</v>
      </c>
      <c r="G2" s="1251"/>
      <c r="H2" s="1251" t="s">
        <v>136</v>
      </c>
      <c r="I2" s="1251"/>
      <c r="J2" s="1253" t="s">
        <v>69</v>
      </c>
      <c r="K2" s="1253"/>
      <c r="L2" s="1251" t="s">
        <v>70</v>
      </c>
      <c r="M2" s="1251"/>
      <c r="N2" s="1254" t="s">
        <v>71</v>
      </c>
      <c r="O2" s="1254"/>
      <c r="P2" s="1253" t="s">
        <v>72</v>
      </c>
      <c r="Q2" s="1253"/>
      <c r="R2" s="1253" t="s">
        <v>73</v>
      </c>
      <c r="S2" s="1253"/>
      <c r="T2" s="1253" t="s">
        <v>74</v>
      </c>
      <c r="U2" s="1253"/>
      <c r="V2" s="1253" t="s">
        <v>84</v>
      </c>
      <c r="W2" s="1253"/>
      <c r="X2" s="1252" t="s">
        <v>58</v>
      </c>
      <c r="Y2" s="1252"/>
    </row>
    <row r="3" spans="1:55" s="109" customFormat="1" ht="28.5" customHeight="1" thickBot="1">
      <c r="A3" s="1249"/>
      <c r="B3" s="119" t="s">
        <v>10</v>
      </c>
      <c r="C3" s="257" t="s">
        <v>9</v>
      </c>
      <c r="D3" s="119" t="s">
        <v>10</v>
      </c>
      <c r="E3" s="265" t="s">
        <v>9</v>
      </c>
      <c r="F3" s="119" t="s">
        <v>10</v>
      </c>
      <c r="G3" s="265" t="s">
        <v>9</v>
      </c>
      <c r="H3" s="119" t="s">
        <v>10</v>
      </c>
      <c r="I3" s="754" t="s">
        <v>9</v>
      </c>
      <c r="J3" s="117" t="s">
        <v>10</v>
      </c>
      <c r="K3" s="754" t="s">
        <v>9</v>
      </c>
      <c r="L3" s="117" t="s">
        <v>10</v>
      </c>
      <c r="M3" s="754" t="s">
        <v>9</v>
      </c>
      <c r="N3" s="117" t="s">
        <v>10</v>
      </c>
      <c r="O3" s="754" t="s">
        <v>9</v>
      </c>
      <c r="P3" s="117" t="s">
        <v>10</v>
      </c>
      <c r="Q3" s="754" t="s">
        <v>9</v>
      </c>
      <c r="R3" s="117" t="s">
        <v>10</v>
      </c>
      <c r="S3" s="754" t="s">
        <v>9</v>
      </c>
      <c r="T3" s="117" t="s">
        <v>10</v>
      </c>
      <c r="U3" s="754" t="s">
        <v>9</v>
      </c>
      <c r="V3" s="117" t="s">
        <v>10</v>
      </c>
      <c r="W3" s="754" t="s">
        <v>9</v>
      </c>
      <c r="X3" s="117" t="s">
        <v>10</v>
      </c>
      <c r="Y3" s="755" t="s">
        <v>9</v>
      </c>
      <c r="Z3"/>
      <c r="AA3"/>
      <c r="AB3"/>
      <c r="AC3"/>
      <c r="AD3"/>
      <c r="AE3"/>
      <c r="AF3"/>
      <c r="AG3"/>
      <c r="AH3"/>
      <c r="AI3"/>
      <c r="AJ3"/>
      <c r="AK3"/>
      <c r="AL3"/>
      <c r="AM3"/>
      <c r="AN3"/>
      <c r="AO3"/>
      <c r="AP3"/>
      <c r="AQ3"/>
      <c r="AR3"/>
      <c r="AS3"/>
      <c r="AT3"/>
      <c r="AU3"/>
      <c r="AV3"/>
      <c r="AW3"/>
      <c r="AX3"/>
      <c r="AY3"/>
      <c r="AZ3"/>
      <c r="BA3"/>
      <c r="BB3"/>
      <c r="BC3"/>
    </row>
    <row r="4" spans="1:55" s="109" customFormat="1" ht="23.25" customHeight="1">
      <c r="A4" s="110" t="s">
        <v>122</v>
      </c>
      <c r="B4" s="111"/>
      <c r="C4" s="258"/>
      <c r="D4" s="258"/>
      <c r="E4" s="258"/>
      <c r="F4" s="111"/>
      <c r="G4" s="266"/>
      <c r="H4" s="111"/>
      <c r="I4" s="266"/>
      <c r="J4" s="112"/>
      <c r="K4" s="266"/>
      <c r="L4" s="111"/>
      <c r="M4" s="266"/>
      <c r="N4" s="111"/>
      <c r="O4" s="266"/>
      <c r="P4" s="112"/>
      <c r="Q4" s="266"/>
      <c r="R4" s="112"/>
      <c r="S4" s="266"/>
      <c r="T4" s="111"/>
      <c r="U4" s="266"/>
      <c r="V4" s="112"/>
      <c r="W4" s="266"/>
      <c r="X4" s="110"/>
      <c r="Y4" s="270"/>
      <c r="Z4"/>
      <c r="AA4"/>
      <c r="AB4"/>
      <c r="AC4"/>
      <c r="AD4"/>
      <c r="AE4"/>
      <c r="AF4"/>
      <c r="AG4"/>
      <c r="AH4"/>
      <c r="AI4"/>
      <c r="AJ4"/>
      <c r="AK4"/>
      <c r="AL4"/>
      <c r="AM4"/>
      <c r="AN4"/>
      <c r="AO4"/>
      <c r="AP4"/>
      <c r="AQ4"/>
      <c r="AR4"/>
      <c r="AS4"/>
      <c r="AT4"/>
      <c r="AU4"/>
      <c r="AV4"/>
      <c r="AW4"/>
      <c r="AX4"/>
      <c r="AY4"/>
      <c r="AZ4"/>
      <c r="BA4"/>
      <c r="BB4"/>
      <c r="BC4"/>
    </row>
    <row r="5" spans="1:55" s="109" customFormat="1" ht="19.5" customHeight="1">
      <c r="A5" s="113" t="s">
        <v>78</v>
      </c>
      <c r="B5" s="150"/>
      <c r="C5" s="259"/>
      <c r="D5" s="1077">
        <v>4</v>
      </c>
      <c r="E5" s="259">
        <v>119.6</v>
      </c>
      <c r="F5" s="150">
        <v>5</v>
      </c>
      <c r="G5" s="259">
        <v>208.3</v>
      </c>
      <c r="H5" s="150">
        <v>7</v>
      </c>
      <c r="I5" s="259">
        <v>366.8</v>
      </c>
      <c r="J5" s="150">
        <v>3</v>
      </c>
      <c r="K5" s="259">
        <v>225</v>
      </c>
      <c r="L5" s="150"/>
      <c r="M5" s="259"/>
      <c r="N5" s="150">
        <v>3</v>
      </c>
      <c r="O5" s="259">
        <v>159.3</v>
      </c>
      <c r="P5" s="150"/>
      <c r="Q5" s="259"/>
      <c r="R5" s="150">
        <v>9</v>
      </c>
      <c r="S5" s="259">
        <v>536.7</v>
      </c>
      <c r="T5" s="150"/>
      <c r="U5" s="259"/>
      <c r="V5" s="150">
        <v>6</v>
      </c>
      <c r="W5" s="259">
        <v>98.4</v>
      </c>
      <c r="X5" s="151">
        <f>SUM(B5,D5,L5,H5,R5,F5,J5,N5,T5,V5)</f>
        <v>37</v>
      </c>
      <c r="Y5" s="600">
        <f>SUM(C5,E5,M5,I5,S5,G5,K5,O5,U5,W5)</f>
        <v>1714.1000000000001</v>
      </c>
      <c r="Z5"/>
      <c r="AA5"/>
      <c r="AB5"/>
      <c r="AC5"/>
      <c r="AD5"/>
      <c r="AE5"/>
      <c r="AF5"/>
      <c r="AG5"/>
      <c r="AH5"/>
      <c r="AI5"/>
      <c r="AJ5"/>
      <c r="AK5"/>
      <c r="AL5"/>
      <c r="AM5"/>
      <c r="AN5"/>
      <c r="AO5"/>
      <c r="AP5"/>
      <c r="AQ5"/>
      <c r="AR5"/>
      <c r="AS5"/>
      <c r="AT5"/>
      <c r="AU5"/>
      <c r="AV5"/>
      <c r="AW5"/>
      <c r="AX5"/>
      <c r="AY5"/>
      <c r="AZ5"/>
      <c r="BA5"/>
      <c r="BB5"/>
      <c r="BC5"/>
    </row>
    <row r="6" spans="1:55" s="109" customFormat="1" ht="19.5" customHeight="1">
      <c r="A6" s="113" t="s">
        <v>79</v>
      </c>
      <c r="B6" s="150"/>
      <c r="C6" s="259">
        <v>861.1</v>
      </c>
      <c r="D6" s="1077">
        <v>2</v>
      </c>
      <c r="E6" s="259">
        <v>181.8</v>
      </c>
      <c r="F6" s="150">
        <v>5</v>
      </c>
      <c r="G6" s="259">
        <v>208.3</v>
      </c>
      <c r="H6" s="150">
        <v>9</v>
      </c>
      <c r="I6" s="259">
        <v>477.1</v>
      </c>
      <c r="J6" s="150"/>
      <c r="K6" s="259"/>
      <c r="L6" s="150"/>
      <c r="M6" s="259"/>
      <c r="N6" s="150">
        <v>24</v>
      </c>
      <c r="O6" s="259">
        <f>2487.7-2231.8+2122.8</f>
        <v>2378.7</v>
      </c>
      <c r="P6" s="150"/>
      <c r="Q6" s="259"/>
      <c r="R6" s="150">
        <v>6</v>
      </c>
      <c r="S6" s="259">
        <v>359.1</v>
      </c>
      <c r="T6" s="150"/>
      <c r="U6" s="259"/>
      <c r="V6" s="150">
        <v>7</v>
      </c>
      <c r="W6" s="259">
        <v>317.6</v>
      </c>
      <c r="X6" s="151">
        <f>SUM(B6,D6,L6,H6,R6,F6,J6,N6,T6,V6)</f>
        <v>53</v>
      </c>
      <c r="Y6" s="600">
        <f>SUM(C6,E6,M6,I6,S6,G6,K6,O6,U6,W6)</f>
        <v>4783.700000000001</v>
      </c>
      <c r="Z6"/>
      <c r="AA6"/>
      <c r="AB6"/>
      <c r="AC6"/>
      <c r="AD6"/>
      <c r="AE6"/>
      <c r="AF6"/>
      <c r="AG6"/>
      <c r="AH6"/>
      <c r="AI6"/>
      <c r="AJ6"/>
      <c r="AK6"/>
      <c r="AL6"/>
      <c r="AM6"/>
      <c r="AN6"/>
      <c r="AO6"/>
      <c r="AP6"/>
      <c r="AQ6"/>
      <c r="AR6"/>
      <c r="AS6"/>
      <c r="AT6"/>
      <c r="AU6"/>
      <c r="AV6"/>
      <c r="AW6"/>
      <c r="AX6"/>
      <c r="AY6"/>
      <c r="AZ6"/>
      <c r="BA6"/>
      <c r="BB6"/>
      <c r="BC6"/>
    </row>
    <row r="7" spans="1:55" s="109" customFormat="1" ht="19.5" customHeight="1">
      <c r="A7" s="113" t="s">
        <v>80</v>
      </c>
      <c r="B7" s="150"/>
      <c r="C7" s="259">
        <v>84.4</v>
      </c>
      <c r="D7" s="1077">
        <v>4</v>
      </c>
      <c r="E7" s="259">
        <v>129.6</v>
      </c>
      <c r="F7" s="150">
        <v>5</v>
      </c>
      <c r="G7" s="259">
        <v>208.3</v>
      </c>
      <c r="H7" s="150">
        <v>7</v>
      </c>
      <c r="I7" s="259">
        <v>383.3</v>
      </c>
      <c r="J7" s="150"/>
      <c r="K7" s="259"/>
      <c r="L7" s="150">
        <v>1</v>
      </c>
      <c r="M7" s="259">
        <v>174.5</v>
      </c>
      <c r="N7" s="150">
        <v>2</v>
      </c>
      <c r="O7" s="259">
        <v>106.6</v>
      </c>
      <c r="P7" s="150">
        <v>7</v>
      </c>
      <c r="Q7" s="259">
        <v>668.9000000000001</v>
      </c>
      <c r="R7" s="150">
        <v>8</v>
      </c>
      <c r="S7" s="259">
        <v>575.9</v>
      </c>
      <c r="T7" s="150">
        <v>9</v>
      </c>
      <c r="U7" s="259">
        <v>486.9</v>
      </c>
      <c r="V7" s="150">
        <v>6</v>
      </c>
      <c r="W7" s="259">
        <v>98.4</v>
      </c>
      <c r="X7" s="151">
        <f>SUM(B7,D7,L7,H7,R7,F7,J7,N7,P7,T7,V7)</f>
        <v>49</v>
      </c>
      <c r="Y7" s="600">
        <f>SUM(C7,E7,M7,I7,S7,G7,K7,O7,Q7,U7,W7)</f>
        <v>2916.8</v>
      </c>
      <c r="Z7"/>
      <c r="AA7"/>
      <c r="AB7"/>
      <c r="AC7"/>
      <c r="AD7"/>
      <c r="AE7"/>
      <c r="AF7"/>
      <c r="AG7"/>
      <c r="AH7"/>
      <c r="AI7"/>
      <c r="AJ7"/>
      <c r="AK7"/>
      <c r="AL7"/>
      <c r="AM7"/>
      <c r="AN7"/>
      <c r="AO7"/>
      <c r="AP7"/>
      <c r="AQ7"/>
      <c r="AR7"/>
      <c r="AS7"/>
      <c r="AT7"/>
      <c r="AU7"/>
      <c r="AV7"/>
      <c r="AW7"/>
      <c r="AX7"/>
      <c r="AY7"/>
      <c r="AZ7"/>
      <c r="BA7"/>
      <c r="BB7"/>
      <c r="BC7"/>
    </row>
    <row r="8" spans="1:55" s="109" customFormat="1" ht="19.5" customHeight="1">
      <c r="A8" s="115" t="s">
        <v>81</v>
      </c>
      <c r="B8" s="273"/>
      <c r="C8" s="274"/>
      <c r="D8" s="1078">
        <v>4</v>
      </c>
      <c r="E8" s="274">
        <v>128.8</v>
      </c>
      <c r="F8" s="273">
        <v>5</v>
      </c>
      <c r="G8" s="274">
        <v>208.3</v>
      </c>
      <c r="H8" s="273">
        <v>9</v>
      </c>
      <c r="I8" s="274">
        <v>487.7</v>
      </c>
      <c r="J8" s="273">
        <v>3</v>
      </c>
      <c r="K8" s="274">
        <v>214.2</v>
      </c>
      <c r="L8" s="273"/>
      <c r="M8" s="274"/>
      <c r="N8" s="273"/>
      <c r="O8" s="274"/>
      <c r="P8" s="273"/>
      <c r="Q8" s="274"/>
      <c r="R8" s="273"/>
      <c r="S8" s="274"/>
      <c r="T8" s="273"/>
      <c r="U8" s="274"/>
      <c r="V8" s="273">
        <v>2</v>
      </c>
      <c r="W8" s="274">
        <v>373.59999999999997</v>
      </c>
      <c r="X8" s="151">
        <f>SUM(B8,D8,L8,H8,R8,F8,J8,N8,T8,V8)</f>
        <v>23</v>
      </c>
      <c r="Y8" s="600">
        <f>SUM(C8,E8,M8,I8,S8,G8,K8,O8,U8,W8)</f>
        <v>1412.6</v>
      </c>
      <c r="Z8"/>
      <c r="AA8"/>
      <c r="AB8"/>
      <c r="AC8"/>
      <c r="AD8"/>
      <c r="AE8"/>
      <c r="AF8"/>
      <c r="AG8"/>
      <c r="AH8"/>
      <c r="AI8"/>
      <c r="AJ8"/>
      <c r="AK8"/>
      <c r="AL8"/>
      <c r="AM8"/>
      <c r="AN8"/>
      <c r="AO8"/>
      <c r="AP8"/>
      <c r="AQ8"/>
      <c r="AR8"/>
      <c r="AS8"/>
      <c r="AT8"/>
      <c r="AU8"/>
      <c r="AV8"/>
      <c r="AW8"/>
      <c r="AX8"/>
      <c r="AY8"/>
      <c r="AZ8"/>
      <c r="BA8"/>
      <c r="BB8"/>
      <c r="BC8"/>
    </row>
    <row r="9" spans="1:55" s="109" customFormat="1" ht="23.25" customHeight="1">
      <c r="A9" s="114" t="s">
        <v>15</v>
      </c>
      <c r="B9" s="153"/>
      <c r="C9" s="260"/>
      <c r="D9" s="260"/>
      <c r="E9" s="260"/>
      <c r="F9" s="153"/>
      <c r="G9" s="260"/>
      <c r="H9" s="153"/>
      <c r="I9" s="260"/>
      <c r="J9" s="153"/>
      <c r="K9" s="260"/>
      <c r="L9" s="153"/>
      <c r="M9" s="260"/>
      <c r="N9" s="153"/>
      <c r="O9" s="260"/>
      <c r="P9" s="153"/>
      <c r="Q9" s="260"/>
      <c r="R9" s="153"/>
      <c r="S9" s="260"/>
      <c r="T9" s="153"/>
      <c r="U9" s="260"/>
      <c r="V9" s="153"/>
      <c r="W9" s="260"/>
      <c r="X9" s="152"/>
      <c r="Y9" s="272"/>
      <c r="Z9"/>
      <c r="AA9"/>
      <c r="AB9"/>
      <c r="AC9"/>
      <c r="AD9"/>
      <c r="AE9"/>
      <c r="AF9"/>
      <c r="AG9"/>
      <c r="AH9"/>
      <c r="AI9"/>
      <c r="AJ9"/>
      <c r="AK9"/>
      <c r="AL9"/>
      <c r="AM9"/>
      <c r="AN9"/>
      <c r="AO9"/>
      <c r="AP9"/>
      <c r="AQ9"/>
      <c r="AR9"/>
      <c r="AS9"/>
      <c r="AT9"/>
      <c r="AU9"/>
      <c r="AV9"/>
      <c r="AW9"/>
      <c r="AX9"/>
      <c r="AY9"/>
      <c r="AZ9"/>
      <c r="BA9"/>
      <c r="BB9"/>
      <c r="BC9"/>
    </row>
    <row r="10" spans="1:55" s="109" customFormat="1" ht="19.5" customHeight="1">
      <c r="A10" s="113" t="s">
        <v>109</v>
      </c>
      <c r="B10" s="150"/>
      <c r="C10" s="259"/>
      <c r="D10" s="259"/>
      <c r="E10" s="259"/>
      <c r="F10" s="150"/>
      <c r="G10" s="259"/>
      <c r="H10" s="150"/>
      <c r="I10" s="259"/>
      <c r="J10" s="150"/>
      <c r="K10" s="259"/>
      <c r="L10" s="150">
        <v>2</v>
      </c>
      <c r="M10" s="259">
        <v>341.6</v>
      </c>
      <c r="N10" s="150">
        <v>3</v>
      </c>
      <c r="O10" s="259">
        <v>159.3</v>
      </c>
      <c r="P10" s="150"/>
      <c r="Q10" s="259"/>
      <c r="R10" s="150">
        <v>1</v>
      </c>
      <c r="S10" s="259">
        <v>135.9</v>
      </c>
      <c r="T10" s="150"/>
      <c r="U10" s="259"/>
      <c r="V10" s="150">
        <v>1</v>
      </c>
      <c r="W10" s="259">
        <v>72.7</v>
      </c>
      <c r="X10" s="151">
        <f aca="true" t="shared" si="0" ref="X10:Y12">SUM(B10,D10,L10,H10,R10,F10,J10,N10,T10,V10)</f>
        <v>7</v>
      </c>
      <c r="Y10" s="600">
        <f t="shared" si="0"/>
        <v>709.5</v>
      </c>
      <c r="Z10"/>
      <c r="AA10"/>
      <c r="AB10"/>
      <c r="AC10"/>
      <c r="AD10"/>
      <c r="AE10"/>
      <c r="AF10"/>
      <c r="AG10"/>
      <c r="AH10"/>
      <c r="AI10"/>
      <c r="AJ10"/>
      <c r="AK10"/>
      <c r="AL10"/>
      <c r="AM10"/>
      <c r="AN10"/>
      <c r="AO10"/>
      <c r="AP10"/>
      <c r="AQ10"/>
      <c r="AR10"/>
      <c r="AS10"/>
      <c r="AT10"/>
      <c r="AU10"/>
      <c r="AV10"/>
      <c r="AW10"/>
      <c r="AX10"/>
      <c r="AY10"/>
      <c r="AZ10"/>
      <c r="BA10"/>
      <c r="BB10"/>
      <c r="BC10"/>
    </row>
    <row r="11" spans="1:55" s="109" customFormat="1" ht="19.5" customHeight="1">
      <c r="A11" s="113" t="s">
        <v>88</v>
      </c>
      <c r="B11" s="150"/>
      <c r="C11" s="259"/>
      <c r="D11" s="1077">
        <v>5</v>
      </c>
      <c r="E11" s="259">
        <v>100</v>
      </c>
      <c r="F11" s="150"/>
      <c r="G11" s="259"/>
      <c r="H11" s="150"/>
      <c r="I11" s="259"/>
      <c r="J11" s="150">
        <v>3</v>
      </c>
      <c r="K11" s="259">
        <v>248.2</v>
      </c>
      <c r="L11" s="150"/>
      <c r="M11" s="259"/>
      <c r="N11" s="150">
        <v>1</v>
      </c>
      <c r="O11" s="259">
        <v>53.9</v>
      </c>
      <c r="P11" s="150"/>
      <c r="Q11" s="259"/>
      <c r="R11" s="150"/>
      <c r="S11" s="259"/>
      <c r="T11" s="150"/>
      <c r="U11" s="259"/>
      <c r="V11" s="150">
        <v>2</v>
      </c>
      <c r="W11" s="259">
        <v>145.4</v>
      </c>
      <c r="X11" s="151">
        <f t="shared" si="0"/>
        <v>11</v>
      </c>
      <c r="Y11" s="600">
        <f t="shared" si="0"/>
        <v>547.5</v>
      </c>
      <c r="Z11"/>
      <c r="AA11"/>
      <c r="AB11"/>
      <c r="AC11"/>
      <c r="AD11"/>
      <c r="AE11"/>
      <c r="AF11"/>
      <c r="AG11"/>
      <c r="AH11"/>
      <c r="AI11"/>
      <c r="AJ11"/>
      <c r="AK11"/>
      <c r="AL11"/>
      <c r="AM11"/>
      <c r="AN11"/>
      <c r="AO11"/>
      <c r="AP11"/>
      <c r="AQ11"/>
      <c r="AR11"/>
      <c r="AS11"/>
      <c r="AT11"/>
      <c r="AU11"/>
      <c r="AV11"/>
      <c r="AW11"/>
      <c r="AX11"/>
      <c r="AY11"/>
      <c r="AZ11"/>
      <c r="BA11"/>
      <c r="BB11"/>
      <c r="BC11"/>
    </row>
    <row r="12" spans="1:55" s="109" customFormat="1" ht="19.5" customHeight="1">
      <c r="A12" s="115" t="s">
        <v>83</v>
      </c>
      <c r="B12" s="273"/>
      <c r="C12" s="274"/>
      <c r="D12" s="274"/>
      <c r="E12" s="274"/>
      <c r="F12" s="273"/>
      <c r="G12" s="274"/>
      <c r="H12" s="273"/>
      <c r="I12" s="274"/>
      <c r="J12" s="273">
        <v>3</v>
      </c>
      <c r="K12" s="274">
        <v>321.3</v>
      </c>
      <c r="L12" s="273"/>
      <c r="M12" s="274">
        <v>351.4</v>
      </c>
      <c r="N12" s="273"/>
      <c r="O12" s="274"/>
      <c r="P12" s="273"/>
      <c r="Q12" s="274"/>
      <c r="R12" s="273"/>
      <c r="S12" s="274"/>
      <c r="T12" s="273"/>
      <c r="U12" s="274"/>
      <c r="V12" s="273"/>
      <c r="W12" s="274"/>
      <c r="X12" s="275">
        <f t="shared" si="0"/>
        <v>3</v>
      </c>
      <c r="Y12" s="601">
        <f t="shared" si="0"/>
        <v>672.7</v>
      </c>
      <c r="Z12"/>
      <c r="AA12"/>
      <c r="AB12"/>
      <c r="AC12"/>
      <c r="AD12"/>
      <c r="AE12"/>
      <c r="AF12"/>
      <c r="AG12"/>
      <c r="AH12"/>
      <c r="AI12"/>
      <c r="AJ12"/>
      <c r="AK12"/>
      <c r="AL12"/>
      <c r="AM12"/>
      <c r="AN12"/>
      <c r="AO12"/>
      <c r="AP12"/>
      <c r="AQ12"/>
      <c r="AR12"/>
      <c r="AS12"/>
      <c r="AT12"/>
      <c r="AU12"/>
      <c r="AV12"/>
      <c r="AW12"/>
      <c r="AX12"/>
      <c r="AY12"/>
      <c r="AZ12"/>
      <c r="BA12"/>
      <c r="BB12"/>
      <c r="BC12"/>
    </row>
    <row r="13" spans="1:55" s="109" customFormat="1" ht="23.25" customHeight="1">
      <c r="A13" s="116" t="s">
        <v>234</v>
      </c>
      <c r="B13" s="149"/>
      <c r="C13" s="261"/>
      <c r="D13" s="261"/>
      <c r="E13" s="261"/>
      <c r="F13" s="149"/>
      <c r="G13" s="261"/>
      <c r="H13" s="149"/>
      <c r="I13" s="261"/>
      <c r="J13" s="149"/>
      <c r="K13" s="261"/>
      <c r="L13" s="149"/>
      <c r="M13" s="261"/>
      <c r="N13" s="149"/>
      <c r="O13" s="261"/>
      <c r="P13" s="149"/>
      <c r="Q13" s="261"/>
      <c r="R13" s="149"/>
      <c r="S13" s="261"/>
      <c r="T13" s="149"/>
      <c r="U13" s="261"/>
      <c r="V13" s="149"/>
      <c r="W13" s="261"/>
      <c r="X13" s="151"/>
      <c r="Y13" s="271"/>
      <c r="Z13"/>
      <c r="AA13"/>
      <c r="AB13"/>
      <c r="AC13"/>
      <c r="AD13"/>
      <c r="AE13"/>
      <c r="AF13"/>
      <c r="AG13"/>
      <c r="AH13"/>
      <c r="AI13"/>
      <c r="AJ13"/>
      <c r="AK13"/>
      <c r="AL13"/>
      <c r="AM13"/>
      <c r="AN13"/>
      <c r="AO13"/>
      <c r="AP13"/>
      <c r="AQ13"/>
      <c r="AR13"/>
      <c r="AS13"/>
      <c r="AT13"/>
      <c r="AU13"/>
      <c r="AV13"/>
      <c r="AW13"/>
      <c r="AX13"/>
      <c r="AY13"/>
      <c r="AZ13"/>
      <c r="BA13"/>
      <c r="BB13"/>
      <c r="BC13"/>
    </row>
    <row r="14" spans="1:55" s="109" customFormat="1" ht="23.25" customHeight="1">
      <c r="A14" s="113" t="s">
        <v>270</v>
      </c>
      <c r="B14" s="149"/>
      <c r="C14" s="261"/>
      <c r="D14" s="261"/>
      <c r="E14" s="261"/>
      <c r="F14" s="149"/>
      <c r="G14" s="261"/>
      <c r="H14" s="149"/>
      <c r="I14" s="261"/>
      <c r="J14" s="149"/>
      <c r="K14" s="261"/>
      <c r="L14" s="149"/>
      <c r="M14" s="261"/>
      <c r="N14" s="149"/>
      <c r="O14" s="261"/>
      <c r="P14" s="149"/>
      <c r="Q14" s="261"/>
      <c r="R14" s="149"/>
      <c r="S14" s="261"/>
      <c r="T14" s="149"/>
      <c r="U14" s="261"/>
      <c r="V14" s="149"/>
      <c r="W14" s="261"/>
      <c r="X14" s="151">
        <f aca="true" t="shared" si="1" ref="X14:X22">SUM(B14,D14,L14,H14,R14,F14,J14,N14,T14,V14)</f>
        <v>0</v>
      </c>
      <c r="Y14" s="600">
        <f aca="true" t="shared" si="2" ref="Y14:Y22">SUM(C14,E14,M14,I14,S14,G14,K14,O14,U14,W14)</f>
        <v>0</v>
      </c>
      <c r="Z14"/>
      <c r="AA14"/>
      <c r="AB14"/>
      <c r="AC14"/>
      <c r="AD14"/>
      <c r="AE14"/>
      <c r="AF14"/>
      <c r="AG14"/>
      <c r="AH14"/>
      <c r="AI14"/>
      <c r="AJ14"/>
      <c r="AK14"/>
      <c r="AL14"/>
      <c r="AM14"/>
      <c r="AN14"/>
      <c r="AO14"/>
      <c r="AP14"/>
      <c r="AQ14"/>
      <c r="AR14"/>
      <c r="AS14"/>
      <c r="AT14"/>
      <c r="AU14"/>
      <c r="AV14"/>
      <c r="AW14"/>
      <c r="AX14"/>
      <c r="AY14"/>
      <c r="AZ14"/>
      <c r="BA14"/>
      <c r="BB14"/>
      <c r="BC14"/>
    </row>
    <row r="15" spans="1:55" s="109" customFormat="1" ht="23.25" customHeight="1">
      <c r="A15" s="113" t="s">
        <v>89</v>
      </c>
      <c r="B15" s="149"/>
      <c r="C15" s="261"/>
      <c r="D15" s="261"/>
      <c r="E15" s="261"/>
      <c r="F15" s="149"/>
      <c r="G15" s="261"/>
      <c r="H15" s="149"/>
      <c r="I15" s="261"/>
      <c r="J15" s="149"/>
      <c r="K15" s="261"/>
      <c r="L15" s="149"/>
      <c r="M15" s="261"/>
      <c r="N15" s="149"/>
      <c r="O15" s="261"/>
      <c r="P15" s="149"/>
      <c r="Q15" s="261"/>
      <c r="R15" s="149"/>
      <c r="S15" s="261"/>
      <c r="T15" s="149"/>
      <c r="U15" s="261"/>
      <c r="V15" s="149">
        <v>2</v>
      </c>
      <c r="W15" s="261">
        <v>145.4</v>
      </c>
      <c r="X15" s="151">
        <f t="shared" si="1"/>
        <v>2</v>
      </c>
      <c r="Y15" s="600">
        <f t="shared" si="2"/>
        <v>145.4</v>
      </c>
      <c r="Z15"/>
      <c r="AA15"/>
      <c r="AB15"/>
      <c r="AC15"/>
      <c r="AD15"/>
      <c r="AE15"/>
      <c r="AF15"/>
      <c r="AG15"/>
      <c r="AH15"/>
      <c r="AI15"/>
      <c r="AJ15"/>
      <c r="AK15"/>
      <c r="AL15"/>
      <c r="AM15"/>
      <c r="AN15"/>
      <c r="AO15"/>
      <c r="AP15"/>
      <c r="AQ15"/>
      <c r="AR15"/>
      <c r="AS15"/>
      <c r="AT15"/>
      <c r="AU15"/>
      <c r="AV15"/>
      <c r="AW15"/>
      <c r="AX15"/>
      <c r="AY15"/>
      <c r="AZ15"/>
      <c r="BA15"/>
      <c r="BB15"/>
      <c r="BC15"/>
    </row>
    <row r="16" spans="1:55" s="109" customFormat="1" ht="23.25" customHeight="1">
      <c r="A16" s="113" t="s">
        <v>85</v>
      </c>
      <c r="B16" s="149"/>
      <c r="C16" s="261"/>
      <c r="D16" s="261"/>
      <c r="E16" s="261"/>
      <c r="F16" s="149"/>
      <c r="G16" s="261"/>
      <c r="H16" s="149"/>
      <c r="I16" s="261"/>
      <c r="J16" s="149"/>
      <c r="K16" s="261"/>
      <c r="L16" s="149"/>
      <c r="M16" s="261"/>
      <c r="N16" s="149"/>
      <c r="O16" s="261"/>
      <c r="P16" s="149"/>
      <c r="Q16" s="261"/>
      <c r="R16" s="149"/>
      <c r="S16" s="261"/>
      <c r="T16" s="149"/>
      <c r="U16" s="261"/>
      <c r="V16" s="149">
        <v>1</v>
      </c>
      <c r="W16" s="261">
        <v>72.7</v>
      </c>
      <c r="X16" s="151">
        <f t="shared" si="1"/>
        <v>1</v>
      </c>
      <c r="Y16" s="600">
        <f t="shared" si="2"/>
        <v>72.7</v>
      </c>
      <c r="Z16"/>
      <c r="AA16"/>
      <c r="AB16"/>
      <c r="AC16"/>
      <c r="AD16"/>
      <c r="AE16"/>
      <c r="AF16"/>
      <c r="AG16"/>
      <c r="AH16"/>
      <c r="AI16"/>
      <c r="AJ16"/>
      <c r="AK16"/>
      <c r="AL16"/>
      <c r="AM16"/>
      <c r="AN16"/>
      <c r="AO16"/>
      <c r="AP16"/>
      <c r="AQ16"/>
      <c r="AR16"/>
      <c r="AS16"/>
      <c r="AT16"/>
      <c r="AU16"/>
      <c r="AV16"/>
      <c r="AW16"/>
      <c r="AX16"/>
      <c r="AY16"/>
      <c r="AZ16"/>
      <c r="BA16"/>
      <c r="BB16"/>
      <c r="BC16"/>
    </row>
    <row r="17" spans="1:55" s="109" customFormat="1" ht="23.25" customHeight="1">
      <c r="A17" s="113" t="s">
        <v>499</v>
      </c>
      <c r="B17" s="149"/>
      <c r="C17" s="261"/>
      <c r="D17" s="261"/>
      <c r="E17" s="261"/>
      <c r="F17" s="149"/>
      <c r="G17" s="261"/>
      <c r="H17" s="149"/>
      <c r="I17" s="261"/>
      <c r="J17" s="149"/>
      <c r="K17" s="261"/>
      <c r="L17" s="149"/>
      <c r="M17" s="261"/>
      <c r="N17" s="149"/>
      <c r="O17" s="261"/>
      <c r="P17" s="149"/>
      <c r="Q17" s="261"/>
      <c r="R17" s="149"/>
      <c r="S17" s="261"/>
      <c r="T17" s="149"/>
      <c r="U17" s="261"/>
      <c r="V17" s="149">
        <v>1</v>
      </c>
      <c r="W17" s="261">
        <v>72.7</v>
      </c>
      <c r="X17" s="151">
        <f t="shared" si="1"/>
        <v>1</v>
      </c>
      <c r="Y17" s="600">
        <f t="shared" si="2"/>
        <v>72.7</v>
      </c>
      <c r="Z17"/>
      <c r="AA17"/>
      <c r="AB17"/>
      <c r="AC17"/>
      <c r="AD17"/>
      <c r="AE17"/>
      <c r="AF17"/>
      <c r="AG17"/>
      <c r="AH17"/>
      <c r="AI17"/>
      <c r="AJ17"/>
      <c r="AK17"/>
      <c r="AL17"/>
      <c r="AM17"/>
      <c r="AN17"/>
      <c r="AO17"/>
      <c r="AP17"/>
      <c r="AQ17"/>
      <c r="AR17"/>
      <c r="AS17"/>
      <c r="AT17"/>
      <c r="AU17"/>
      <c r="AV17"/>
      <c r="AW17"/>
      <c r="AX17"/>
      <c r="AY17"/>
      <c r="AZ17"/>
      <c r="BA17"/>
      <c r="BB17"/>
      <c r="BC17"/>
    </row>
    <row r="18" spans="1:55" s="109" customFormat="1" ht="23.25" customHeight="1">
      <c r="A18" s="113" t="s">
        <v>110</v>
      </c>
      <c r="B18" s="149"/>
      <c r="C18" s="261"/>
      <c r="D18" s="261"/>
      <c r="E18" s="261"/>
      <c r="F18" s="149"/>
      <c r="G18" s="261"/>
      <c r="H18" s="149"/>
      <c r="I18" s="261"/>
      <c r="J18" s="149"/>
      <c r="K18" s="261"/>
      <c r="L18" s="149">
        <v>2</v>
      </c>
      <c r="M18" s="261">
        <v>340.8</v>
      </c>
      <c r="N18" s="149"/>
      <c r="O18" s="261"/>
      <c r="P18" s="149"/>
      <c r="Q18" s="261"/>
      <c r="R18" s="149"/>
      <c r="S18" s="261"/>
      <c r="T18" s="149"/>
      <c r="U18" s="261"/>
      <c r="V18" s="149"/>
      <c r="W18" s="261"/>
      <c r="X18" s="151">
        <f t="shared" si="1"/>
        <v>2</v>
      </c>
      <c r="Y18" s="600">
        <f t="shared" si="2"/>
        <v>340.8</v>
      </c>
      <c r="Z18"/>
      <c r="AA18"/>
      <c r="AB18"/>
      <c r="AC18"/>
      <c r="AD18"/>
      <c r="AE18"/>
      <c r="AF18"/>
      <c r="AG18"/>
      <c r="AH18"/>
      <c r="AI18"/>
      <c r="AJ18"/>
      <c r="AK18"/>
      <c r="AL18"/>
      <c r="AM18"/>
      <c r="AN18"/>
      <c r="AO18"/>
      <c r="AP18"/>
      <c r="AQ18"/>
      <c r="AR18"/>
      <c r="AS18"/>
      <c r="AT18"/>
      <c r="AU18"/>
      <c r="AV18"/>
      <c r="AW18"/>
      <c r="AX18"/>
      <c r="AY18"/>
      <c r="AZ18"/>
      <c r="BA18"/>
      <c r="BB18"/>
      <c r="BC18"/>
    </row>
    <row r="19" spans="1:55" s="109" customFormat="1" ht="23.25" customHeight="1">
      <c r="A19" s="113" t="s">
        <v>90</v>
      </c>
      <c r="B19" s="149"/>
      <c r="C19" s="261"/>
      <c r="D19" s="261"/>
      <c r="E19" s="261"/>
      <c r="F19" s="149"/>
      <c r="G19" s="261"/>
      <c r="H19" s="149"/>
      <c r="I19" s="261"/>
      <c r="J19" s="149"/>
      <c r="K19" s="261"/>
      <c r="L19" s="149"/>
      <c r="M19" s="261"/>
      <c r="N19" s="149"/>
      <c r="O19" s="261"/>
      <c r="P19" s="149"/>
      <c r="Q19" s="261"/>
      <c r="R19" s="149"/>
      <c r="S19" s="261"/>
      <c r="T19" s="149"/>
      <c r="U19" s="261"/>
      <c r="V19" s="149">
        <v>2</v>
      </c>
      <c r="W19" s="261">
        <v>145.4</v>
      </c>
      <c r="X19" s="151">
        <f t="shared" si="1"/>
        <v>2</v>
      </c>
      <c r="Y19" s="600">
        <f t="shared" si="2"/>
        <v>145.4</v>
      </c>
      <c r="Z19"/>
      <c r="AA19"/>
      <c r="AB19"/>
      <c r="AC19"/>
      <c r="AD19"/>
      <c r="AE19"/>
      <c r="AF19"/>
      <c r="AG19"/>
      <c r="AH19"/>
      <c r="AI19"/>
      <c r="AJ19"/>
      <c r="AK19"/>
      <c r="AL19"/>
      <c r="AM19"/>
      <c r="AN19"/>
      <c r="AO19"/>
      <c r="AP19"/>
      <c r="AQ19"/>
      <c r="AR19"/>
      <c r="AS19"/>
      <c r="AT19"/>
      <c r="AU19"/>
      <c r="AV19"/>
      <c r="AW19"/>
      <c r="AX19"/>
      <c r="AY19"/>
      <c r="AZ19"/>
      <c r="BA19"/>
      <c r="BB19"/>
      <c r="BC19"/>
    </row>
    <row r="20" spans="1:55" s="109" customFormat="1" ht="23.25" customHeight="1">
      <c r="A20" s="113" t="s">
        <v>111</v>
      </c>
      <c r="B20" s="149"/>
      <c r="C20" s="261"/>
      <c r="D20" s="261"/>
      <c r="E20" s="261"/>
      <c r="F20" s="149"/>
      <c r="G20" s="261"/>
      <c r="H20" s="149"/>
      <c r="I20" s="261"/>
      <c r="J20" s="149"/>
      <c r="K20" s="261"/>
      <c r="L20" s="149"/>
      <c r="M20" s="261"/>
      <c r="N20" s="149"/>
      <c r="O20" s="261"/>
      <c r="P20" s="149"/>
      <c r="Q20" s="261"/>
      <c r="R20" s="149"/>
      <c r="S20" s="261"/>
      <c r="T20" s="149"/>
      <c r="U20" s="261"/>
      <c r="V20" s="149">
        <v>3</v>
      </c>
      <c r="W20" s="261">
        <v>218.1</v>
      </c>
      <c r="X20" s="151">
        <f t="shared" si="1"/>
        <v>3</v>
      </c>
      <c r="Y20" s="600">
        <f t="shared" si="2"/>
        <v>218.1</v>
      </c>
      <c r="Z20"/>
      <c r="AA20"/>
      <c r="AB20"/>
      <c r="AC20"/>
      <c r="AD20"/>
      <c r="AE20"/>
      <c r="AF20"/>
      <c r="AG20"/>
      <c r="AH20"/>
      <c r="AI20"/>
      <c r="AJ20"/>
      <c r="AK20"/>
      <c r="AL20"/>
      <c r="AM20"/>
      <c r="AN20"/>
      <c r="AO20"/>
      <c r="AP20"/>
      <c r="AQ20"/>
      <c r="AR20"/>
      <c r="AS20"/>
      <c r="AT20"/>
      <c r="AU20"/>
      <c r="AV20"/>
      <c r="AW20"/>
      <c r="AX20"/>
      <c r="AY20"/>
      <c r="AZ20"/>
      <c r="BA20"/>
      <c r="BB20"/>
      <c r="BC20"/>
    </row>
    <row r="21" spans="1:55" s="109" customFormat="1" ht="23.25" customHeight="1">
      <c r="A21" s="113" t="s">
        <v>501</v>
      </c>
      <c r="B21" s="149"/>
      <c r="C21" s="261"/>
      <c r="D21" s="261"/>
      <c r="E21" s="261"/>
      <c r="F21" s="149"/>
      <c r="G21" s="261"/>
      <c r="H21" s="149"/>
      <c r="I21" s="261"/>
      <c r="J21" s="149"/>
      <c r="K21" s="261"/>
      <c r="L21" s="149"/>
      <c r="M21" s="261"/>
      <c r="N21" s="149"/>
      <c r="O21" s="261"/>
      <c r="P21" s="149"/>
      <c r="Q21" s="261"/>
      <c r="R21" s="149"/>
      <c r="S21" s="261"/>
      <c r="T21" s="149">
        <v>10</v>
      </c>
      <c r="U21" s="261">
        <v>486.2</v>
      </c>
      <c r="V21" s="149"/>
      <c r="W21" s="261"/>
      <c r="X21" s="151">
        <f t="shared" si="1"/>
        <v>10</v>
      </c>
      <c r="Y21" s="600">
        <f t="shared" si="2"/>
        <v>486.2</v>
      </c>
      <c r="Z21"/>
      <c r="AA21"/>
      <c r="AB21"/>
      <c r="AC21"/>
      <c r="AD21"/>
      <c r="AE21"/>
      <c r="AF21"/>
      <c r="AG21"/>
      <c r="AH21"/>
      <c r="AI21"/>
      <c r="AJ21"/>
      <c r="AK21"/>
      <c r="AL21"/>
      <c r="AM21"/>
      <c r="AN21"/>
      <c r="AO21"/>
      <c r="AP21"/>
      <c r="AQ21"/>
      <c r="AR21"/>
      <c r="AS21"/>
      <c r="AT21"/>
      <c r="AU21"/>
      <c r="AV21"/>
      <c r="AW21"/>
      <c r="AX21"/>
      <c r="AY21"/>
      <c r="AZ21"/>
      <c r="BA21"/>
      <c r="BB21"/>
      <c r="BC21"/>
    </row>
    <row r="22" spans="1:55" s="109" customFormat="1" ht="20.25" customHeight="1">
      <c r="A22" s="115" t="s">
        <v>91</v>
      </c>
      <c r="B22" s="273"/>
      <c r="C22" s="274"/>
      <c r="D22" s="274"/>
      <c r="E22" s="274"/>
      <c r="F22" s="273"/>
      <c r="G22" s="274"/>
      <c r="H22" s="273"/>
      <c r="I22" s="274"/>
      <c r="J22" s="273"/>
      <c r="K22" s="274"/>
      <c r="L22" s="273">
        <v>1</v>
      </c>
      <c r="M22" s="274">
        <v>170.4</v>
      </c>
      <c r="N22" s="273"/>
      <c r="O22" s="274"/>
      <c r="P22" s="273"/>
      <c r="Q22" s="274"/>
      <c r="R22" s="273"/>
      <c r="S22" s="274"/>
      <c r="T22" s="273"/>
      <c r="U22" s="274"/>
      <c r="V22" s="273">
        <v>3</v>
      </c>
      <c r="W22" s="274">
        <v>218.1</v>
      </c>
      <c r="X22" s="275">
        <f t="shared" si="1"/>
        <v>4</v>
      </c>
      <c r="Y22" s="601">
        <f t="shared" si="2"/>
        <v>388.5</v>
      </c>
      <c r="Z22"/>
      <c r="AA22"/>
      <c r="AB22"/>
      <c r="AC22"/>
      <c r="AD22"/>
      <c r="AE22"/>
      <c r="AF22"/>
      <c r="AG22"/>
      <c r="AH22"/>
      <c r="AI22"/>
      <c r="AJ22"/>
      <c r="AK22"/>
      <c r="AL22"/>
      <c r="AM22"/>
      <c r="AN22"/>
      <c r="AO22"/>
      <c r="AP22"/>
      <c r="AQ22"/>
      <c r="AR22"/>
      <c r="AS22"/>
      <c r="AT22"/>
      <c r="AU22"/>
      <c r="AV22"/>
      <c r="AW22"/>
      <c r="AX22"/>
      <c r="AY22"/>
      <c r="AZ22"/>
      <c r="BA22"/>
      <c r="BB22"/>
      <c r="BC22"/>
    </row>
    <row r="23" spans="1:55" s="109" customFormat="1" ht="23.25" customHeight="1">
      <c r="A23" s="116" t="s">
        <v>372</v>
      </c>
      <c r="B23" s="150"/>
      <c r="C23" s="259"/>
      <c r="D23" s="259"/>
      <c r="E23" s="259"/>
      <c r="F23" s="150"/>
      <c r="G23" s="259"/>
      <c r="H23" s="150"/>
      <c r="I23" s="259"/>
      <c r="J23" s="150"/>
      <c r="K23" s="259"/>
      <c r="L23" s="150"/>
      <c r="M23" s="259"/>
      <c r="N23" s="150"/>
      <c r="O23" s="259"/>
      <c r="P23" s="150"/>
      <c r="Q23" s="259"/>
      <c r="R23" s="150"/>
      <c r="S23" s="259"/>
      <c r="T23" s="150"/>
      <c r="U23" s="259"/>
      <c r="V23" s="150"/>
      <c r="W23" s="259"/>
      <c r="X23" s="150"/>
      <c r="Y23" s="259"/>
      <c r="Z23"/>
      <c r="AA23"/>
      <c r="AB23"/>
      <c r="AC23"/>
      <c r="AD23"/>
      <c r="AE23"/>
      <c r="AF23"/>
      <c r="AG23"/>
      <c r="AH23"/>
      <c r="AI23"/>
      <c r="AJ23"/>
      <c r="AK23"/>
      <c r="AL23"/>
      <c r="AM23"/>
      <c r="AN23"/>
      <c r="AO23"/>
      <c r="AP23"/>
      <c r="AQ23"/>
      <c r="AR23"/>
      <c r="AS23"/>
      <c r="AT23"/>
      <c r="AU23"/>
      <c r="AV23"/>
      <c r="AW23"/>
      <c r="AX23"/>
      <c r="AY23"/>
      <c r="AZ23"/>
      <c r="BA23"/>
      <c r="BB23"/>
      <c r="BC23"/>
    </row>
    <row r="24" spans="1:55" s="109" customFormat="1" ht="20.25" customHeight="1">
      <c r="A24" s="115" t="s">
        <v>137</v>
      </c>
      <c r="B24" s="273"/>
      <c r="C24" s="274"/>
      <c r="D24" s="274"/>
      <c r="E24" s="274"/>
      <c r="F24" s="273"/>
      <c r="G24" s="274"/>
      <c r="H24" s="273"/>
      <c r="I24" s="274"/>
      <c r="J24" s="273"/>
      <c r="K24" s="274"/>
      <c r="L24" s="273">
        <v>1</v>
      </c>
      <c r="M24" s="274">
        <v>172.9</v>
      </c>
      <c r="N24" s="273"/>
      <c r="O24" s="274"/>
      <c r="P24" s="273"/>
      <c r="Q24" s="274"/>
      <c r="R24" s="273"/>
      <c r="S24" s="274"/>
      <c r="T24" s="273"/>
      <c r="U24" s="274"/>
      <c r="V24" s="273">
        <v>1</v>
      </c>
      <c r="W24" s="274">
        <v>72.7</v>
      </c>
      <c r="X24" s="275">
        <f>SUM(B24,D24,L24,H24,R24,F24,J24,N24,T24,V24)</f>
        <v>2</v>
      </c>
      <c r="Y24" s="601">
        <f>SUM(C24,E24,M24,I24,S24,G24,K24,O24,U24,W24)</f>
        <v>245.60000000000002</v>
      </c>
      <c r="Z24"/>
      <c r="AA24"/>
      <c r="AB24"/>
      <c r="AC24"/>
      <c r="AD24"/>
      <c r="AE24"/>
      <c r="AF24"/>
      <c r="AG24"/>
      <c r="AH24"/>
      <c r="AI24"/>
      <c r="AJ24"/>
      <c r="AK24"/>
      <c r="AL24"/>
      <c r="AM24"/>
      <c r="AN24"/>
      <c r="AO24"/>
      <c r="AP24"/>
      <c r="AQ24"/>
      <c r="AR24"/>
      <c r="AS24"/>
      <c r="AT24"/>
      <c r="AU24"/>
      <c r="AV24"/>
      <c r="AW24"/>
      <c r="AX24"/>
      <c r="AY24"/>
      <c r="AZ24"/>
      <c r="BA24"/>
      <c r="BB24"/>
      <c r="BC24"/>
    </row>
    <row r="25" spans="1:55" s="109" customFormat="1" ht="23.25" customHeight="1">
      <c r="A25" s="116" t="s">
        <v>235</v>
      </c>
      <c r="B25" s="150"/>
      <c r="C25" s="259"/>
      <c r="D25" s="259"/>
      <c r="E25" s="259"/>
      <c r="F25" s="150"/>
      <c r="G25" s="259"/>
      <c r="H25" s="150"/>
      <c r="I25" s="259"/>
      <c r="J25" s="150"/>
      <c r="K25" s="259"/>
      <c r="L25" s="150"/>
      <c r="M25" s="259"/>
      <c r="N25" s="150"/>
      <c r="O25" s="259"/>
      <c r="P25" s="150"/>
      <c r="Q25" s="259"/>
      <c r="R25" s="150"/>
      <c r="S25" s="259"/>
      <c r="T25" s="150"/>
      <c r="U25" s="259"/>
      <c r="V25" s="150"/>
      <c r="W25" s="259"/>
      <c r="X25" s="150"/>
      <c r="Y25" s="259"/>
      <c r="Z25"/>
      <c r="AA25"/>
      <c r="AB25"/>
      <c r="AC25"/>
      <c r="AD25"/>
      <c r="AE25"/>
      <c r="AF25"/>
      <c r="AG25"/>
      <c r="AH25"/>
      <c r="AI25"/>
      <c r="AJ25"/>
      <c r="AK25"/>
      <c r="AL25"/>
      <c r="AM25"/>
      <c r="AN25"/>
      <c r="AO25"/>
      <c r="AP25"/>
      <c r="AQ25"/>
      <c r="AR25"/>
      <c r="AS25"/>
      <c r="AT25"/>
      <c r="AU25"/>
      <c r="AV25"/>
      <c r="AW25"/>
      <c r="AX25"/>
      <c r="AY25"/>
      <c r="AZ25"/>
      <c r="BA25"/>
      <c r="BB25"/>
      <c r="BC25"/>
    </row>
    <row r="26" spans="1:55" s="109" customFormat="1" ht="23.25" customHeight="1">
      <c r="A26" s="113" t="s">
        <v>498</v>
      </c>
      <c r="B26" s="150">
        <v>11</v>
      </c>
      <c r="C26" s="259">
        <v>1642</v>
      </c>
      <c r="D26" s="259"/>
      <c r="E26" s="259"/>
      <c r="F26" s="150"/>
      <c r="G26" s="259"/>
      <c r="H26" s="150"/>
      <c r="I26" s="259"/>
      <c r="J26" s="150"/>
      <c r="K26" s="259"/>
      <c r="L26" s="150"/>
      <c r="M26" s="259"/>
      <c r="N26" s="150"/>
      <c r="O26" s="259"/>
      <c r="P26" s="150"/>
      <c r="Q26" s="259"/>
      <c r="R26" s="150"/>
      <c r="S26" s="259"/>
      <c r="T26" s="150"/>
      <c r="U26" s="259"/>
      <c r="V26" s="150"/>
      <c r="W26" s="259"/>
      <c r="X26" s="151">
        <f aca="true" t="shared" si="3" ref="X26:Y28">SUM(B26,D26,L26,H26,R26,F26,J26,N26,T26,V26)</f>
        <v>11</v>
      </c>
      <c r="Y26" s="600">
        <f t="shared" si="3"/>
        <v>1642</v>
      </c>
      <c r="Z26"/>
      <c r="AA26"/>
      <c r="AB26"/>
      <c r="AC26"/>
      <c r="AD26"/>
      <c r="AE26"/>
      <c r="AF26"/>
      <c r="AG26"/>
      <c r="AH26"/>
      <c r="AI26"/>
      <c r="AJ26"/>
      <c r="AK26"/>
      <c r="AL26"/>
      <c r="AM26"/>
      <c r="AN26"/>
      <c r="AO26"/>
      <c r="AP26"/>
      <c r="AQ26"/>
      <c r="AR26"/>
      <c r="AS26"/>
      <c r="AT26"/>
      <c r="AU26"/>
      <c r="AV26"/>
      <c r="AW26"/>
      <c r="AX26"/>
      <c r="AY26"/>
      <c r="AZ26"/>
      <c r="BA26"/>
      <c r="BB26"/>
      <c r="BC26"/>
    </row>
    <row r="27" spans="1:55" s="109" customFormat="1" ht="46.5" customHeight="1">
      <c r="A27" s="1048" t="s">
        <v>497</v>
      </c>
      <c r="B27" s="150">
        <v>7</v>
      </c>
      <c r="C27" s="259">
        <v>1030</v>
      </c>
      <c r="D27" s="259"/>
      <c r="E27" s="259"/>
      <c r="F27" s="150"/>
      <c r="G27" s="259"/>
      <c r="H27" s="150"/>
      <c r="I27" s="259"/>
      <c r="J27" s="150"/>
      <c r="K27" s="259"/>
      <c r="L27" s="150"/>
      <c r="M27" s="259"/>
      <c r="N27" s="150"/>
      <c r="O27" s="259"/>
      <c r="P27" s="150"/>
      <c r="Q27" s="259"/>
      <c r="R27" s="150"/>
      <c r="S27" s="259"/>
      <c r="T27" s="150"/>
      <c r="U27" s="259"/>
      <c r="V27" s="150"/>
      <c r="W27" s="259"/>
      <c r="X27" s="151">
        <f t="shared" si="3"/>
        <v>7</v>
      </c>
      <c r="Y27" s="600">
        <f t="shared" si="3"/>
        <v>1030</v>
      </c>
      <c r="Z27"/>
      <c r="AA27"/>
      <c r="AB27"/>
      <c r="AC27"/>
      <c r="AD27"/>
      <c r="AE27"/>
      <c r="AF27"/>
      <c r="AG27"/>
      <c r="AH27"/>
      <c r="AI27"/>
      <c r="AJ27"/>
      <c r="AK27"/>
      <c r="AL27"/>
      <c r="AM27"/>
      <c r="AN27"/>
      <c r="AO27"/>
      <c r="AP27"/>
      <c r="AQ27"/>
      <c r="AR27"/>
      <c r="AS27"/>
      <c r="AT27"/>
      <c r="AU27"/>
      <c r="AV27"/>
      <c r="AW27"/>
      <c r="AX27"/>
      <c r="AY27"/>
      <c r="AZ27"/>
      <c r="BA27"/>
      <c r="BB27"/>
      <c r="BC27"/>
    </row>
    <row r="28" spans="1:55" s="109" customFormat="1" ht="23.25" customHeight="1">
      <c r="A28" s="113" t="s">
        <v>374</v>
      </c>
      <c r="B28" s="150">
        <v>4</v>
      </c>
      <c r="C28" s="259">
        <v>1215.1999999999998</v>
      </c>
      <c r="D28" s="259"/>
      <c r="E28" s="259"/>
      <c r="F28" s="150"/>
      <c r="G28" s="259"/>
      <c r="H28" s="150"/>
      <c r="I28" s="259"/>
      <c r="J28" s="150"/>
      <c r="K28" s="259"/>
      <c r="L28" s="150"/>
      <c r="M28" s="259"/>
      <c r="N28" s="150"/>
      <c r="O28" s="259"/>
      <c r="P28" s="150"/>
      <c r="Q28" s="259"/>
      <c r="R28" s="150"/>
      <c r="S28" s="259"/>
      <c r="T28" s="150"/>
      <c r="U28" s="259"/>
      <c r="V28" s="150"/>
      <c r="W28" s="259"/>
      <c r="X28" s="151">
        <f t="shared" si="3"/>
        <v>4</v>
      </c>
      <c r="Y28" s="600">
        <f t="shared" si="3"/>
        <v>1215.1999999999998</v>
      </c>
      <c r="Z28"/>
      <c r="AA28"/>
      <c r="AB28"/>
      <c r="AC28"/>
      <c r="AD28"/>
      <c r="AE28"/>
      <c r="AF28"/>
      <c r="AG28"/>
      <c r="AH28"/>
      <c r="AI28"/>
      <c r="AJ28"/>
      <c r="AK28"/>
      <c r="AL28"/>
      <c r="AM28"/>
      <c r="AN28"/>
      <c r="AO28"/>
      <c r="AP28"/>
      <c r="AQ28"/>
      <c r="AR28"/>
      <c r="AS28"/>
      <c r="AT28"/>
      <c r="AU28"/>
      <c r="AV28"/>
      <c r="AW28"/>
      <c r="AX28"/>
      <c r="AY28"/>
      <c r="AZ28"/>
      <c r="BA28"/>
      <c r="BB28"/>
      <c r="BC28"/>
    </row>
    <row r="29" spans="1:55" s="109" customFormat="1" ht="20.25" customHeight="1">
      <c r="A29" s="113" t="s">
        <v>237</v>
      </c>
      <c r="B29" s="150">
        <v>8</v>
      </c>
      <c r="C29" s="259">
        <v>1079.5</v>
      </c>
      <c r="D29" s="259"/>
      <c r="E29" s="259"/>
      <c r="F29" s="150"/>
      <c r="G29" s="259"/>
      <c r="H29" s="150"/>
      <c r="I29" s="259"/>
      <c r="J29" s="150"/>
      <c r="K29" s="259"/>
      <c r="L29" s="150"/>
      <c r="M29" s="259"/>
      <c r="N29" s="150"/>
      <c r="O29" s="259"/>
      <c r="P29" s="150"/>
      <c r="Q29" s="259"/>
      <c r="R29" s="150"/>
      <c r="S29" s="259"/>
      <c r="T29" s="150"/>
      <c r="U29" s="259"/>
      <c r="V29" s="150"/>
      <c r="W29" s="259"/>
      <c r="X29" s="151">
        <f aca="true" t="shared" si="4" ref="X29:Y31">SUM(B29,D29,L29,H29,R29,F29,J29,N29,T29,V29)</f>
        <v>8</v>
      </c>
      <c r="Y29" s="600">
        <f t="shared" si="4"/>
        <v>1079.5</v>
      </c>
      <c r="Z29"/>
      <c r="AA29"/>
      <c r="AB29"/>
      <c r="AC29"/>
      <c r="AD29"/>
      <c r="AE29"/>
      <c r="AF29"/>
      <c r="AG29"/>
      <c r="AH29"/>
      <c r="AI29"/>
      <c r="AJ29"/>
      <c r="AK29"/>
      <c r="AL29"/>
      <c r="AM29"/>
      <c r="AN29"/>
      <c r="AO29"/>
      <c r="AP29"/>
      <c r="AQ29"/>
      <c r="AR29"/>
      <c r="AS29"/>
      <c r="AT29"/>
      <c r="AU29"/>
      <c r="AV29"/>
      <c r="AW29"/>
      <c r="AX29"/>
      <c r="AY29"/>
      <c r="AZ29"/>
      <c r="BA29"/>
      <c r="BB29"/>
      <c r="BC29"/>
    </row>
    <row r="30" spans="1:55" s="109" customFormat="1" ht="20.25" customHeight="1">
      <c r="A30" s="113" t="s">
        <v>373</v>
      </c>
      <c r="B30" s="150">
        <v>11</v>
      </c>
      <c r="C30" s="259">
        <v>1631.4</v>
      </c>
      <c r="D30" s="259"/>
      <c r="E30" s="259"/>
      <c r="F30" s="150"/>
      <c r="G30" s="259"/>
      <c r="H30" s="150"/>
      <c r="I30" s="259"/>
      <c r="J30" s="150"/>
      <c r="K30" s="259"/>
      <c r="L30" s="150"/>
      <c r="M30" s="259"/>
      <c r="N30" s="150"/>
      <c r="O30" s="259"/>
      <c r="P30" s="150"/>
      <c r="Q30" s="259"/>
      <c r="R30" s="150"/>
      <c r="S30" s="259"/>
      <c r="T30" s="150"/>
      <c r="U30" s="259"/>
      <c r="V30" s="150"/>
      <c r="W30" s="259"/>
      <c r="X30" s="151">
        <f t="shared" si="4"/>
        <v>11</v>
      </c>
      <c r="Y30" s="600">
        <f t="shared" si="4"/>
        <v>1631.4</v>
      </c>
      <c r="Z30"/>
      <c r="AA30"/>
      <c r="AB30"/>
      <c r="AC30"/>
      <c r="AD30"/>
      <c r="AE30"/>
      <c r="AF30"/>
      <c r="AG30"/>
      <c r="AH30"/>
      <c r="AI30"/>
      <c r="AJ30"/>
      <c r="AK30"/>
      <c r="AL30"/>
      <c r="AM30"/>
      <c r="AN30"/>
      <c r="AO30"/>
      <c r="AP30"/>
      <c r="AQ30"/>
      <c r="AR30"/>
      <c r="AS30"/>
      <c r="AT30"/>
      <c r="AU30"/>
      <c r="AV30"/>
      <c r="AW30"/>
      <c r="AX30"/>
      <c r="AY30"/>
      <c r="AZ30"/>
      <c r="BA30"/>
      <c r="BB30"/>
      <c r="BC30"/>
    </row>
    <row r="31" spans="1:55" s="109" customFormat="1" ht="20.25" customHeight="1">
      <c r="A31" s="113" t="s">
        <v>500</v>
      </c>
      <c r="B31" s="150">
        <v>7</v>
      </c>
      <c r="C31" s="259">
        <v>1072.5</v>
      </c>
      <c r="D31" s="259"/>
      <c r="E31" s="259"/>
      <c r="F31" s="150"/>
      <c r="G31" s="259"/>
      <c r="H31" s="150"/>
      <c r="I31" s="259"/>
      <c r="J31" s="150"/>
      <c r="K31" s="259"/>
      <c r="L31" s="150"/>
      <c r="M31" s="259"/>
      <c r="N31" s="150"/>
      <c r="O31" s="259"/>
      <c r="P31" s="150"/>
      <c r="Q31" s="259"/>
      <c r="R31" s="150"/>
      <c r="S31" s="259"/>
      <c r="T31" s="150"/>
      <c r="U31" s="259"/>
      <c r="V31" s="150"/>
      <c r="W31" s="259"/>
      <c r="X31" s="151">
        <f t="shared" si="4"/>
        <v>7</v>
      </c>
      <c r="Y31" s="600">
        <f t="shared" si="4"/>
        <v>1072.5</v>
      </c>
      <c r="Z31"/>
      <c r="AA31"/>
      <c r="AB31"/>
      <c r="AC31"/>
      <c r="AD31"/>
      <c r="AE31"/>
      <c r="AF31"/>
      <c r="AG31"/>
      <c r="AH31"/>
      <c r="AI31"/>
      <c r="AJ31"/>
      <c r="AK31"/>
      <c r="AL31"/>
      <c r="AM31"/>
      <c r="AN31"/>
      <c r="AO31"/>
      <c r="AP31"/>
      <c r="AQ31"/>
      <c r="AR31"/>
      <c r="AS31"/>
      <c r="AT31"/>
      <c r="AU31"/>
      <c r="AV31"/>
      <c r="AW31"/>
      <c r="AX31"/>
      <c r="AY31"/>
      <c r="AZ31"/>
      <c r="BA31"/>
      <c r="BB31"/>
      <c r="BC31"/>
    </row>
    <row r="32" spans="1:55" s="109" customFormat="1" ht="20.25" customHeight="1">
      <c r="A32" s="115" t="s">
        <v>280</v>
      </c>
      <c r="B32" s="273">
        <v>4</v>
      </c>
      <c r="C32" s="274">
        <v>1215.1999999999998</v>
      </c>
      <c r="D32" s="274"/>
      <c r="E32" s="274"/>
      <c r="F32" s="273"/>
      <c r="G32" s="274"/>
      <c r="H32" s="273"/>
      <c r="I32" s="274"/>
      <c r="J32" s="273"/>
      <c r="K32" s="274"/>
      <c r="L32" s="273"/>
      <c r="M32" s="274"/>
      <c r="N32" s="273"/>
      <c r="O32" s="274"/>
      <c r="P32" s="273"/>
      <c r="Q32" s="274"/>
      <c r="R32" s="273"/>
      <c r="S32" s="274"/>
      <c r="T32" s="273"/>
      <c r="U32" s="274"/>
      <c r="V32" s="273"/>
      <c r="W32" s="274"/>
      <c r="X32" s="275">
        <f>SUM(B32,D32,L32,H32,R32,F32,J32,N32,T32,V32)</f>
        <v>4</v>
      </c>
      <c r="Y32" s="601">
        <f>SUM(C32,E32,M32,I32,S32,G32,K32,O32,U32,W32)</f>
        <v>1215.1999999999998</v>
      </c>
      <c r="Z32"/>
      <c r="AA32"/>
      <c r="AB32"/>
      <c r="AC32"/>
      <c r="AD32"/>
      <c r="AE32"/>
      <c r="AF32"/>
      <c r="AG32"/>
      <c r="AH32"/>
      <c r="AI32"/>
      <c r="AJ32"/>
      <c r="AK32"/>
      <c r="AL32"/>
      <c r="AM32"/>
      <c r="AN32"/>
      <c r="AO32"/>
      <c r="AP32"/>
      <c r="AQ32"/>
      <c r="AR32"/>
      <c r="AS32"/>
      <c r="AT32"/>
      <c r="AU32"/>
      <c r="AV32"/>
      <c r="AW32"/>
      <c r="AX32"/>
      <c r="AY32"/>
      <c r="AZ32"/>
      <c r="BA32"/>
      <c r="BB32"/>
      <c r="BC32"/>
    </row>
    <row r="33" spans="1:55" s="109" customFormat="1" ht="22.5" customHeight="1" thickBot="1">
      <c r="A33" s="876" t="s">
        <v>259</v>
      </c>
      <c r="B33" s="877"/>
      <c r="C33" s="878"/>
      <c r="D33" s="1079">
        <v>5</v>
      </c>
      <c r="E33" s="878">
        <v>87.5</v>
      </c>
      <c r="F33" s="877">
        <v>5</v>
      </c>
      <c r="G33" s="878">
        <v>208.3</v>
      </c>
      <c r="H33" s="877"/>
      <c r="I33" s="878"/>
      <c r="J33" s="877"/>
      <c r="K33" s="878"/>
      <c r="L33" s="877">
        <v>3</v>
      </c>
      <c r="M33" s="878">
        <f>494.2-164</f>
        <v>330.2</v>
      </c>
      <c r="N33" s="877"/>
      <c r="O33" s="878"/>
      <c r="P33" s="877"/>
      <c r="Q33" s="878"/>
      <c r="R33" s="877"/>
      <c r="S33" s="878"/>
      <c r="T33" s="877"/>
      <c r="U33" s="878"/>
      <c r="V33" s="877">
        <v>4</v>
      </c>
      <c r="W33" s="878">
        <f>300.9-145.7</f>
        <v>155.2</v>
      </c>
      <c r="X33" s="151">
        <f>SUM(B33,D33,L33,H33,R33,F33,J33,N33,T33,V33)</f>
        <v>17</v>
      </c>
      <c r="Y33" s="600">
        <f>SUM(C33,E33,M33,I33,S33,G33,K33,O33,U33,W33)</f>
        <v>781.2</v>
      </c>
      <c r="Z33"/>
      <c r="AA33"/>
      <c r="AB33"/>
      <c r="AC33"/>
      <c r="AD33"/>
      <c r="AE33"/>
      <c r="AF33"/>
      <c r="AG33"/>
      <c r="AH33"/>
      <c r="AI33"/>
      <c r="AJ33"/>
      <c r="AK33"/>
      <c r="AL33"/>
      <c r="AM33"/>
      <c r="AN33"/>
      <c r="AO33"/>
      <c r="AP33"/>
      <c r="AQ33"/>
      <c r="AR33"/>
      <c r="AS33"/>
      <c r="AT33"/>
      <c r="AU33"/>
      <c r="AV33"/>
      <c r="AW33"/>
      <c r="AX33"/>
      <c r="AY33"/>
      <c r="AZ33"/>
      <c r="BA33"/>
      <c r="BB33"/>
      <c r="BC33"/>
    </row>
    <row r="34" spans="1:55" s="109" customFormat="1" ht="23.25" customHeight="1" thickBot="1">
      <c r="A34" s="117" t="s">
        <v>53</v>
      </c>
      <c r="B34" s="118">
        <f aca="true" t="shared" si="5" ref="B34:Y34">SUM(B5:B33)</f>
        <v>52</v>
      </c>
      <c r="C34" s="570">
        <f t="shared" si="5"/>
        <v>9831.3</v>
      </c>
      <c r="D34" s="118">
        <f t="shared" si="5"/>
        <v>24</v>
      </c>
      <c r="E34" s="570">
        <f t="shared" si="5"/>
        <v>747.3</v>
      </c>
      <c r="F34" s="118">
        <f t="shared" si="5"/>
        <v>25</v>
      </c>
      <c r="G34" s="570">
        <f t="shared" si="5"/>
        <v>1041.5</v>
      </c>
      <c r="H34" s="118">
        <f t="shared" si="5"/>
        <v>32</v>
      </c>
      <c r="I34" s="570">
        <f t="shared" si="5"/>
        <v>1714.9</v>
      </c>
      <c r="J34" s="118">
        <f t="shared" si="5"/>
        <v>12</v>
      </c>
      <c r="K34" s="570">
        <f t="shared" si="5"/>
        <v>1008.7</v>
      </c>
      <c r="L34" s="118">
        <f t="shared" si="5"/>
        <v>10</v>
      </c>
      <c r="M34" s="570">
        <f t="shared" si="5"/>
        <v>1881.8000000000002</v>
      </c>
      <c r="N34" s="118">
        <f t="shared" si="5"/>
        <v>33</v>
      </c>
      <c r="O34" s="570">
        <f t="shared" si="5"/>
        <v>2857.8</v>
      </c>
      <c r="P34" s="118">
        <f t="shared" si="5"/>
        <v>7</v>
      </c>
      <c r="Q34" s="570">
        <f t="shared" si="5"/>
        <v>668.9000000000001</v>
      </c>
      <c r="R34" s="118">
        <f t="shared" si="5"/>
        <v>24</v>
      </c>
      <c r="S34" s="570">
        <f t="shared" si="5"/>
        <v>1607.6000000000001</v>
      </c>
      <c r="T34" s="118">
        <f t="shared" si="5"/>
        <v>19</v>
      </c>
      <c r="U34" s="570">
        <f t="shared" si="5"/>
        <v>973.0999999999999</v>
      </c>
      <c r="V34" s="118">
        <f t="shared" si="5"/>
        <v>41</v>
      </c>
      <c r="W34" s="570">
        <f t="shared" si="5"/>
        <v>2206.4</v>
      </c>
      <c r="X34" s="118">
        <f t="shared" si="5"/>
        <v>279</v>
      </c>
      <c r="Y34" s="570">
        <f t="shared" si="5"/>
        <v>24539.300000000007</v>
      </c>
      <c r="Z34" s="875"/>
      <c r="AA34"/>
      <c r="AB34"/>
      <c r="AC34"/>
      <c r="AD34"/>
      <c r="AE34"/>
      <c r="AF34"/>
      <c r="AG34"/>
      <c r="AH34"/>
      <c r="AI34"/>
      <c r="AJ34"/>
      <c r="AK34"/>
      <c r="AL34"/>
      <c r="AM34"/>
      <c r="AN34"/>
      <c r="AO34"/>
      <c r="AP34"/>
      <c r="AQ34"/>
      <c r="AR34"/>
      <c r="AS34"/>
      <c r="AT34"/>
      <c r="AU34"/>
      <c r="AV34"/>
      <c r="AW34"/>
      <c r="AX34"/>
      <c r="AY34"/>
      <c r="AZ34"/>
      <c r="BA34"/>
      <c r="BB34"/>
      <c r="BC34"/>
    </row>
    <row r="35" spans="1:25" s="54" customFormat="1" ht="18" customHeight="1">
      <c r="A35" s="54" t="s">
        <v>375</v>
      </c>
      <c r="C35" s="263"/>
      <c r="D35" s="263"/>
      <c r="E35" s="263"/>
      <c r="G35" s="263"/>
      <c r="I35" s="263"/>
      <c r="K35" s="263"/>
      <c r="M35" s="263"/>
      <c r="O35" s="263"/>
      <c r="Q35" s="263"/>
      <c r="S35" s="263"/>
      <c r="U35" s="263"/>
      <c r="W35" s="263"/>
      <c r="Y35" s="263"/>
    </row>
    <row r="36" spans="3:25" s="54" customFormat="1" ht="15.75" customHeight="1">
      <c r="C36" s="263"/>
      <c r="D36" s="263"/>
      <c r="E36" s="263"/>
      <c r="G36" s="263"/>
      <c r="I36" s="263"/>
      <c r="K36" s="263"/>
      <c r="M36" s="263"/>
      <c r="O36" s="263"/>
      <c r="Q36" s="263"/>
      <c r="S36" s="263"/>
      <c r="U36" s="263"/>
      <c r="W36" s="263"/>
      <c r="Y36" s="263"/>
    </row>
    <row r="37" spans="3:28" s="54" customFormat="1" ht="15.75" customHeight="1">
      <c r="C37" s="263"/>
      <c r="D37" s="263"/>
      <c r="E37" s="263"/>
      <c r="G37" s="263"/>
      <c r="I37" s="263"/>
      <c r="K37" s="263"/>
      <c r="M37" s="263"/>
      <c r="O37" s="263"/>
      <c r="Q37" s="263"/>
      <c r="S37" s="263"/>
      <c r="U37" s="263"/>
      <c r="W37" s="263"/>
      <c r="Y37" s="263"/>
      <c r="Z37" s="793"/>
      <c r="AB37" s="197"/>
    </row>
    <row r="38" spans="3:25" s="54" customFormat="1" ht="15.75" customHeight="1">
      <c r="C38" s="263"/>
      <c r="D38" s="263"/>
      <c r="E38" s="263"/>
      <c r="G38" s="263"/>
      <c r="I38" s="263"/>
      <c r="K38" s="263"/>
      <c r="M38" s="263"/>
      <c r="O38" s="263"/>
      <c r="Q38" s="263"/>
      <c r="S38" s="263"/>
      <c r="U38" s="263"/>
      <c r="W38" s="263"/>
      <c r="Y38" s="263"/>
    </row>
    <row r="39" spans="3:25" s="54" customFormat="1" ht="15.75" customHeight="1">
      <c r="C39" s="263"/>
      <c r="D39" s="263"/>
      <c r="E39" s="263"/>
      <c r="G39" s="263"/>
      <c r="I39" s="263"/>
      <c r="K39" s="263"/>
      <c r="M39" s="263"/>
      <c r="O39" s="263"/>
      <c r="Q39" s="263"/>
      <c r="S39" s="263"/>
      <c r="U39" s="263"/>
      <c r="W39" s="263"/>
      <c r="Y39" s="263"/>
    </row>
    <row r="40" spans="3:25" s="54" customFormat="1" ht="15.75" customHeight="1">
      <c r="C40" s="263"/>
      <c r="D40" s="263"/>
      <c r="E40" s="263"/>
      <c r="G40" s="263"/>
      <c r="I40" s="263"/>
      <c r="K40" s="263"/>
      <c r="M40" s="263"/>
      <c r="O40" s="263"/>
      <c r="Q40" s="263"/>
      <c r="S40" s="263"/>
      <c r="U40" s="263"/>
      <c r="W40" s="263"/>
      <c r="Y40" s="263"/>
    </row>
    <row r="41" spans="3:25" s="54" customFormat="1" ht="15.75" customHeight="1">
      <c r="C41" s="263"/>
      <c r="D41" s="263"/>
      <c r="E41" s="263"/>
      <c r="G41" s="263"/>
      <c r="I41" s="263"/>
      <c r="K41" s="263"/>
      <c r="M41" s="263"/>
      <c r="O41" s="263"/>
      <c r="Q41" s="263"/>
      <c r="S41" s="263"/>
      <c r="U41" s="263"/>
      <c r="W41" s="263"/>
      <c r="Y41" s="263"/>
    </row>
    <row r="42" spans="3:25" s="54" customFormat="1" ht="15.75" customHeight="1">
      <c r="C42" s="263"/>
      <c r="D42" s="263"/>
      <c r="E42" s="263"/>
      <c r="G42" s="263"/>
      <c r="I42" s="263"/>
      <c r="K42" s="263"/>
      <c r="M42" s="263"/>
      <c r="O42" s="263"/>
      <c r="Q42" s="263"/>
      <c r="S42" s="263"/>
      <c r="U42" s="263"/>
      <c r="W42" s="263"/>
      <c r="Y42" s="263"/>
    </row>
    <row r="43" spans="3:25" s="54" customFormat="1" ht="15.75" customHeight="1">
      <c r="C43" s="263"/>
      <c r="D43" s="263"/>
      <c r="E43" s="263"/>
      <c r="G43" s="263"/>
      <c r="I43" s="263"/>
      <c r="K43" s="263"/>
      <c r="M43" s="263"/>
      <c r="O43" s="263"/>
      <c r="Q43" s="263"/>
      <c r="S43" s="263"/>
      <c r="U43" s="263"/>
      <c r="W43" s="263"/>
      <c r="Y43" s="263"/>
    </row>
    <row r="44" spans="3:25" s="54" customFormat="1" ht="15.75" customHeight="1">
      <c r="C44" s="263"/>
      <c r="D44" s="263"/>
      <c r="E44" s="263"/>
      <c r="G44" s="263"/>
      <c r="I44" s="263"/>
      <c r="K44" s="263"/>
      <c r="M44" s="263"/>
      <c r="O44" s="263"/>
      <c r="Q44" s="263"/>
      <c r="S44" s="263"/>
      <c r="U44" s="263"/>
      <c r="W44" s="263"/>
      <c r="Y44" s="263"/>
    </row>
    <row r="45" spans="3:25" s="54" customFormat="1" ht="15.75" customHeight="1">
      <c r="C45" s="263"/>
      <c r="D45" s="263"/>
      <c r="E45" s="263"/>
      <c r="G45" s="263"/>
      <c r="I45" s="263"/>
      <c r="K45" s="263"/>
      <c r="M45" s="263"/>
      <c r="O45" s="263"/>
      <c r="Q45" s="263"/>
      <c r="S45" s="263"/>
      <c r="U45" s="263"/>
      <c r="W45" s="263"/>
      <c r="Y45" s="263"/>
    </row>
    <row r="46" spans="3:25" s="54" customFormat="1" ht="15.75" customHeight="1">
      <c r="C46" s="263"/>
      <c r="D46" s="263"/>
      <c r="E46" s="263"/>
      <c r="G46" s="263"/>
      <c r="I46" s="263"/>
      <c r="K46" s="263"/>
      <c r="M46" s="263"/>
      <c r="O46" s="263"/>
      <c r="Q46" s="263"/>
      <c r="S46" s="263"/>
      <c r="U46" s="263"/>
      <c r="W46" s="263"/>
      <c r="Y46" s="263"/>
    </row>
    <row r="47" spans="3:25" s="54" customFormat="1" ht="17.25" customHeight="1">
      <c r="C47" s="263"/>
      <c r="D47" s="263"/>
      <c r="E47" s="263"/>
      <c r="G47" s="263"/>
      <c r="I47" s="263"/>
      <c r="K47" s="263"/>
      <c r="M47" s="263"/>
      <c r="O47" s="263"/>
      <c r="Q47" s="263"/>
      <c r="S47" s="263"/>
      <c r="U47" s="263"/>
      <c r="W47" s="263"/>
      <c r="Y47" s="263"/>
    </row>
    <row r="48" spans="3:25" ht="15.75" customHeight="1">
      <c r="C48" s="262"/>
      <c r="D48" s="262"/>
      <c r="E48" s="262"/>
      <c r="G48" s="262"/>
      <c r="I48" s="262"/>
      <c r="J48" s="61"/>
      <c r="K48" s="267"/>
      <c r="M48" s="262"/>
      <c r="N48" s="61"/>
      <c r="O48" s="267"/>
      <c r="P48" s="61"/>
      <c r="Q48" s="267"/>
      <c r="R48" s="61"/>
      <c r="S48" s="267"/>
      <c r="U48" s="262"/>
      <c r="W48" s="262"/>
      <c r="Y48" s="262"/>
    </row>
    <row r="49" spans="3:25" ht="18.75" customHeight="1">
      <c r="C49" s="262"/>
      <c r="D49" s="262"/>
      <c r="E49" s="262"/>
      <c r="G49" s="262"/>
      <c r="I49" s="262"/>
      <c r="J49" s="61"/>
      <c r="K49" s="267"/>
      <c r="M49" s="262"/>
      <c r="N49" s="61"/>
      <c r="O49" s="267"/>
      <c r="P49" s="61"/>
      <c r="Q49" s="267"/>
      <c r="R49" s="61"/>
      <c r="S49" s="267"/>
      <c r="U49" s="262"/>
      <c r="W49" s="262"/>
      <c r="Y49" s="262"/>
    </row>
    <row r="50" spans="3:25" ht="21.75" customHeight="1">
      <c r="C50" s="262"/>
      <c r="D50" s="262"/>
      <c r="E50" s="262"/>
      <c r="G50" s="262"/>
      <c r="I50" s="262"/>
      <c r="J50" s="61"/>
      <c r="K50" s="267"/>
      <c r="M50" s="262"/>
      <c r="N50" s="61"/>
      <c r="O50" s="267"/>
      <c r="P50" s="61"/>
      <c r="Q50" s="267"/>
      <c r="R50" s="61"/>
      <c r="S50" s="267"/>
      <c r="U50" s="262"/>
      <c r="W50" s="262"/>
      <c r="Y50" s="262"/>
    </row>
    <row r="51" spans="3:25" ht="19.5" customHeight="1">
      <c r="C51" s="262"/>
      <c r="D51" s="262"/>
      <c r="E51" s="262"/>
      <c r="G51" s="262"/>
      <c r="I51" s="262"/>
      <c r="J51" s="61"/>
      <c r="K51" s="267"/>
      <c r="M51" s="262"/>
      <c r="N51" s="61"/>
      <c r="O51" s="267"/>
      <c r="P51" s="61"/>
      <c r="Q51" s="267"/>
      <c r="R51" s="61"/>
      <c r="S51" s="267"/>
      <c r="U51" s="262"/>
      <c r="W51" s="262"/>
      <c r="Y51" s="262"/>
    </row>
    <row r="52" spans="3:25" ht="18" customHeight="1">
      <c r="C52" s="262"/>
      <c r="D52" s="262"/>
      <c r="E52" s="262"/>
      <c r="G52" s="262"/>
      <c r="I52" s="262"/>
      <c r="J52" s="61"/>
      <c r="K52" s="267"/>
      <c r="M52" s="262"/>
      <c r="N52" s="61"/>
      <c r="O52" s="267"/>
      <c r="P52" s="61"/>
      <c r="Q52" s="267"/>
      <c r="R52" s="61"/>
      <c r="S52" s="267"/>
      <c r="U52" s="262"/>
      <c r="W52" s="262"/>
      <c r="Y52" s="262"/>
    </row>
    <row r="53" spans="3:25" ht="15.75" customHeight="1">
      <c r="C53" s="262"/>
      <c r="D53" s="262"/>
      <c r="E53" s="262"/>
      <c r="G53" s="262"/>
      <c r="I53" s="262"/>
      <c r="J53" s="61"/>
      <c r="K53" s="267"/>
      <c r="M53" s="262"/>
      <c r="N53" s="61"/>
      <c r="O53" s="267"/>
      <c r="P53" s="61"/>
      <c r="Q53" s="267"/>
      <c r="R53" s="61"/>
      <c r="S53" s="267"/>
      <c r="U53" s="262"/>
      <c r="W53" s="262"/>
      <c r="Y53" s="262"/>
    </row>
    <row r="54" spans="3:25" ht="19.5" customHeight="1">
      <c r="C54" s="262"/>
      <c r="D54" s="262"/>
      <c r="E54" s="262"/>
      <c r="G54" s="262"/>
      <c r="I54" s="262"/>
      <c r="J54" s="61"/>
      <c r="K54" s="267"/>
      <c r="M54" s="262"/>
      <c r="N54" s="61"/>
      <c r="O54" s="267"/>
      <c r="P54" s="61"/>
      <c r="Q54" s="267"/>
      <c r="R54" s="61"/>
      <c r="S54" s="267"/>
      <c r="U54" s="262"/>
      <c r="W54" s="262"/>
      <c r="Y54" s="262"/>
    </row>
    <row r="55" spans="3:25" ht="20.25" customHeight="1">
      <c r="C55" s="262"/>
      <c r="D55" s="262"/>
      <c r="E55" s="262"/>
      <c r="G55" s="262"/>
      <c r="I55" s="262"/>
      <c r="J55" s="61"/>
      <c r="K55" s="267"/>
      <c r="M55" s="262"/>
      <c r="N55" s="61"/>
      <c r="O55" s="267"/>
      <c r="P55" s="61"/>
      <c r="Q55" s="267"/>
      <c r="R55" s="61"/>
      <c r="S55" s="267"/>
      <c r="U55" s="262"/>
      <c r="W55" s="262"/>
      <c r="Y55" s="262"/>
    </row>
    <row r="56" spans="3:25" ht="18.75" customHeight="1">
      <c r="C56" s="262"/>
      <c r="D56" s="262"/>
      <c r="E56" s="262"/>
      <c r="G56" s="262"/>
      <c r="I56" s="262"/>
      <c r="J56" s="61"/>
      <c r="K56" s="267"/>
      <c r="M56" s="262"/>
      <c r="N56" s="61"/>
      <c r="O56" s="267"/>
      <c r="P56" s="61"/>
      <c r="Q56" s="267"/>
      <c r="R56" s="61"/>
      <c r="S56" s="267"/>
      <c r="U56" s="262"/>
      <c r="W56" s="262"/>
      <c r="Y56" s="262"/>
    </row>
    <row r="57" spans="3:25" ht="15.75" customHeight="1">
      <c r="C57" s="262"/>
      <c r="D57" s="262"/>
      <c r="E57" s="262"/>
      <c r="G57" s="262"/>
      <c r="I57" s="262"/>
      <c r="J57" s="61"/>
      <c r="K57" s="267"/>
      <c r="M57" s="262"/>
      <c r="N57" s="61"/>
      <c r="O57" s="267"/>
      <c r="P57" s="61"/>
      <c r="Q57" s="267"/>
      <c r="R57" s="61"/>
      <c r="S57" s="267"/>
      <c r="U57" s="262"/>
      <c r="W57" s="262"/>
      <c r="Y57" s="262"/>
    </row>
    <row r="58" spans="3:25" ht="15.75" customHeight="1">
      <c r="C58" s="262"/>
      <c r="D58" s="262"/>
      <c r="E58" s="262"/>
      <c r="G58" s="262"/>
      <c r="I58" s="262"/>
      <c r="J58" s="61"/>
      <c r="K58" s="267"/>
      <c r="M58" s="262"/>
      <c r="N58" s="61"/>
      <c r="O58" s="267"/>
      <c r="P58" s="61"/>
      <c r="Q58" s="267"/>
      <c r="R58" s="61"/>
      <c r="S58" s="267"/>
      <c r="U58" s="262"/>
      <c r="W58" s="262"/>
      <c r="Y58" s="262"/>
    </row>
    <row r="59" spans="3:25" ht="15.75" customHeight="1">
      <c r="C59" s="262"/>
      <c r="D59" s="262"/>
      <c r="E59" s="262"/>
      <c r="G59" s="262"/>
      <c r="I59" s="262"/>
      <c r="J59" s="61"/>
      <c r="K59" s="267"/>
      <c r="M59" s="262"/>
      <c r="N59" s="61"/>
      <c r="O59" s="267"/>
      <c r="P59" s="61"/>
      <c r="Q59" s="267"/>
      <c r="R59" s="61"/>
      <c r="S59" s="267"/>
      <c r="U59" s="262"/>
      <c r="W59" s="262"/>
      <c r="Y59" s="262"/>
    </row>
    <row r="60" spans="3:25" ht="15.75" customHeight="1">
      <c r="C60" s="262"/>
      <c r="D60" s="262"/>
      <c r="E60" s="262"/>
      <c r="G60" s="262"/>
      <c r="I60" s="262"/>
      <c r="J60" s="61"/>
      <c r="K60" s="267"/>
      <c r="M60" s="262"/>
      <c r="N60" s="61"/>
      <c r="O60" s="267"/>
      <c r="P60" s="61"/>
      <c r="Q60" s="267"/>
      <c r="R60" s="61"/>
      <c r="S60" s="267"/>
      <c r="U60" s="262"/>
      <c r="W60" s="262"/>
      <c r="Y60" s="262"/>
    </row>
    <row r="61" spans="3:25" ht="15.75" customHeight="1">
      <c r="C61" s="262"/>
      <c r="D61" s="262"/>
      <c r="E61" s="262"/>
      <c r="G61" s="262"/>
      <c r="I61" s="262"/>
      <c r="J61" s="61"/>
      <c r="K61" s="267"/>
      <c r="M61" s="262"/>
      <c r="N61" s="61"/>
      <c r="O61" s="267"/>
      <c r="P61" s="61"/>
      <c r="Q61" s="267"/>
      <c r="R61" s="61"/>
      <c r="S61" s="267"/>
      <c r="U61" s="262"/>
      <c r="W61" s="262"/>
      <c r="Y61" s="262"/>
    </row>
    <row r="62" spans="3:25" ht="15.75" customHeight="1">
      <c r="C62" s="262"/>
      <c r="D62" s="262"/>
      <c r="E62" s="262"/>
      <c r="G62" s="262"/>
      <c r="I62" s="262"/>
      <c r="J62" s="61"/>
      <c r="K62" s="267"/>
      <c r="M62" s="262"/>
      <c r="N62" s="61"/>
      <c r="O62" s="267"/>
      <c r="P62" s="61"/>
      <c r="Q62" s="267"/>
      <c r="R62" s="61"/>
      <c r="S62" s="267"/>
      <c r="U62" s="262"/>
      <c r="W62" s="262"/>
      <c r="Y62" s="262"/>
    </row>
    <row r="63" spans="3:25" ht="15.75" customHeight="1">
      <c r="C63" s="262"/>
      <c r="D63" s="262"/>
      <c r="E63" s="262"/>
      <c r="G63" s="262"/>
      <c r="I63" s="262"/>
      <c r="J63" s="61"/>
      <c r="K63" s="267"/>
      <c r="M63" s="262"/>
      <c r="N63" s="61"/>
      <c r="O63" s="267"/>
      <c r="P63" s="61"/>
      <c r="Q63" s="267"/>
      <c r="R63" s="61"/>
      <c r="S63" s="267"/>
      <c r="U63" s="262"/>
      <c r="W63" s="262"/>
      <c r="Y63" s="262"/>
    </row>
    <row r="64" spans="3:25" ht="15.75" customHeight="1">
      <c r="C64" s="262"/>
      <c r="D64" s="262"/>
      <c r="E64" s="262"/>
      <c r="G64" s="262"/>
      <c r="I64" s="262"/>
      <c r="J64" s="61"/>
      <c r="K64" s="267"/>
      <c r="M64" s="262"/>
      <c r="N64" s="61"/>
      <c r="O64" s="267"/>
      <c r="P64" s="61"/>
      <c r="Q64" s="267"/>
      <c r="R64" s="61"/>
      <c r="S64" s="267"/>
      <c r="U64" s="262"/>
      <c r="W64" s="262"/>
      <c r="Y64" s="262"/>
    </row>
    <row r="65" spans="3:25" ht="15.75" customHeight="1">
      <c r="C65" s="262"/>
      <c r="D65" s="262"/>
      <c r="E65" s="262"/>
      <c r="G65" s="262"/>
      <c r="I65" s="262"/>
      <c r="J65" s="61"/>
      <c r="K65" s="267"/>
      <c r="M65" s="262"/>
      <c r="N65" s="61"/>
      <c r="O65" s="267"/>
      <c r="P65" s="61"/>
      <c r="Q65" s="267"/>
      <c r="R65" s="61"/>
      <c r="S65" s="267"/>
      <c r="U65" s="262"/>
      <c r="W65" s="262"/>
      <c r="Y65" s="262"/>
    </row>
    <row r="66" spans="3:25" ht="15.75" customHeight="1">
      <c r="C66" s="262"/>
      <c r="D66" s="262"/>
      <c r="E66" s="262"/>
      <c r="G66" s="262"/>
      <c r="I66" s="262"/>
      <c r="J66" s="61"/>
      <c r="K66" s="267"/>
      <c r="M66" s="262"/>
      <c r="N66" s="61"/>
      <c r="O66" s="267"/>
      <c r="P66" s="61"/>
      <c r="Q66" s="267"/>
      <c r="R66" s="61"/>
      <c r="S66" s="267"/>
      <c r="U66" s="262"/>
      <c r="W66" s="262"/>
      <c r="Y66" s="262"/>
    </row>
    <row r="67" spans="3:25" ht="15.75" customHeight="1">
      <c r="C67" s="262"/>
      <c r="D67" s="262"/>
      <c r="E67" s="262"/>
      <c r="G67" s="262"/>
      <c r="I67" s="262"/>
      <c r="J67" s="61"/>
      <c r="K67" s="267"/>
      <c r="M67" s="262"/>
      <c r="N67" s="61"/>
      <c r="O67" s="267"/>
      <c r="P67" s="61"/>
      <c r="Q67" s="267"/>
      <c r="R67" s="61"/>
      <c r="S67" s="267"/>
      <c r="U67" s="262"/>
      <c r="W67" s="262"/>
      <c r="Y67" s="262"/>
    </row>
    <row r="68" spans="3:25" ht="15.75" customHeight="1">
      <c r="C68" s="262"/>
      <c r="D68" s="262"/>
      <c r="E68" s="262"/>
      <c r="G68" s="262"/>
      <c r="I68" s="262"/>
      <c r="J68" s="61"/>
      <c r="K68" s="267"/>
      <c r="M68" s="262"/>
      <c r="N68" s="61"/>
      <c r="O68" s="267"/>
      <c r="P68" s="61"/>
      <c r="Q68" s="267"/>
      <c r="R68" s="61"/>
      <c r="S68" s="267"/>
      <c r="U68" s="262"/>
      <c r="W68" s="262"/>
      <c r="Y68" s="262"/>
    </row>
    <row r="69" spans="3:25" ht="15.75" customHeight="1">
      <c r="C69" s="262"/>
      <c r="D69" s="262"/>
      <c r="E69" s="262"/>
      <c r="G69" s="262"/>
      <c r="I69" s="262"/>
      <c r="J69" s="61"/>
      <c r="K69" s="267"/>
      <c r="M69" s="262"/>
      <c r="N69" s="61"/>
      <c r="O69" s="267"/>
      <c r="P69" s="61"/>
      <c r="Q69" s="267"/>
      <c r="R69" s="61"/>
      <c r="S69" s="267"/>
      <c r="U69" s="262"/>
      <c r="W69" s="262"/>
      <c r="Y69" s="262"/>
    </row>
    <row r="70" spans="3:25" ht="15.75" customHeight="1">
      <c r="C70" s="262"/>
      <c r="D70" s="262"/>
      <c r="E70" s="262"/>
      <c r="G70" s="262"/>
      <c r="I70" s="262"/>
      <c r="J70" s="61"/>
      <c r="K70" s="267"/>
      <c r="M70" s="262"/>
      <c r="N70" s="61"/>
      <c r="O70" s="267"/>
      <c r="P70" s="61"/>
      <c r="Q70" s="267"/>
      <c r="R70" s="61"/>
      <c r="S70" s="267"/>
      <c r="U70" s="262"/>
      <c r="W70" s="262"/>
      <c r="Y70" s="262"/>
    </row>
    <row r="71" spans="3:25" ht="15.75" customHeight="1">
      <c r="C71" s="262"/>
      <c r="D71" s="262"/>
      <c r="E71" s="262"/>
      <c r="G71" s="262"/>
      <c r="I71" s="262"/>
      <c r="J71" s="61"/>
      <c r="K71" s="267"/>
      <c r="M71" s="262"/>
      <c r="N71" s="61"/>
      <c r="O71" s="267"/>
      <c r="P71" s="61"/>
      <c r="Q71" s="267"/>
      <c r="R71" s="61"/>
      <c r="S71" s="267"/>
      <c r="U71" s="262"/>
      <c r="W71" s="262"/>
      <c r="Y71" s="262"/>
    </row>
    <row r="72" spans="3:25" ht="15.75" customHeight="1">
      <c r="C72" s="262"/>
      <c r="D72" s="262"/>
      <c r="E72" s="262"/>
      <c r="G72" s="262"/>
      <c r="I72" s="262"/>
      <c r="J72" s="61"/>
      <c r="K72" s="267"/>
      <c r="M72" s="262"/>
      <c r="N72" s="61"/>
      <c r="O72" s="267"/>
      <c r="P72" s="61"/>
      <c r="Q72" s="267"/>
      <c r="R72" s="61"/>
      <c r="S72" s="267"/>
      <c r="U72" s="262"/>
      <c r="W72" s="262"/>
      <c r="Y72" s="262"/>
    </row>
    <row r="73" spans="3:25" ht="15.75" customHeight="1">
      <c r="C73" s="262"/>
      <c r="D73" s="262"/>
      <c r="E73" s="262"/>
      <c r="G73" s="262"/>
      <c r="I73" s="262"/>
      <c r="J73" s="61"/>
      <c r="K73" s="267"/>
      <c r="M73" s="262"/>
      <c r="N73" s="61"/>
      <c r="O73" s="267"/>
      <c r="P73" s="61"/>
      <c r="Q73" s="267"/>
      <c r="R73" s="61"/>
      <c r="S73" s="267"/>
      <c r="U73" s="262"/>
      <c r="W73" s="262"/>
      <c r="Y73" s="262"/>
    </row>
    <row r="74" spans="3:25" ht="15.75" customHeight="1">
      <c r="C74" s="262"/>
      <c r="D74" s="262"/>
      <c r="E74" s="262"/>
      <c r="G74" s="262"/>
      <c r="I74" s="262"/>
      <c r="J74" s="61"/>
      <c r="K74" s="267"/>
      <c r="M74" s="262"/>
      <c r="N74" s="61"/>
      <c r="O74" s="267"/>
      <c r="P74" s="61"/>
      <c r="Q74" s="267"/>
      <c r="R74" s="61"/>
      <c r="S74" s="267"/>
      <c r="U74" s="262"/>
      <c r="W74" s="262"/>
      <c r="Y74" s="262"/>
    </row>
    <row r="75" spans="3:25" ht="15.75" customHeight="1">
      <c r="C75" s="262"/>
      <c r="D75" s="262"/>
      <c r="E75" s="262"/>
      <c r="G75" s="262"/>
      <c r="I75" s="262"/>
      <c r="J75" s="61"/>
      <c r="K75" s="267"/>
      <c r="M75" s="262"/>
      <c r="N75" s="61"/>
      <c r="O75" s="267"/>
      <c r="P75" s="61"/>
      <c r="Q75" s="267"/>
      <c r="R75" s="61"/>
      <c r="S75" s="267"/>
      <c r="U75" s="262"/>
      <c r="W75" s="262"/>
      <c r="Y75" s="262"/>
    </row>
    <row r="76" spans="3:25" ht="15.75" customHeight="1">
      <c r="C76" s="262"/>
      <c r="D76" s="262"/>
      <c r="E76" s="262"/>
      <c r="G76" s="262"/>
      <c r="I76" s="262"/>
      <c r="J76" s="61"/>
      <c r="K76" s="267"/>
      <c r="M76" s="262"/>
      <c r="N76" s="61"/>
      <c r="O76" s="267"/>
      <c r="P76" s="61"/>
      <c r="Q76" s="267"/>
      <c r="R76" s="61"/>
      <c r="S76" s="267"/>
      <c r="U76" s="262"/>
      <c r="W76" s="262"/>
      <c r="Y76" s="262"/>
    </row>
    <row r="77" spans="3:25" ht="15.75" customHeight="1">
      <c r="C77" s="262"/>
      <c r="D77" s="262"/>
      <c r="E77" s="262"/>
      <c r="G77" s="262"/>
      <c r="I77" s="262"/>
      <c r="J77" s="61"/>
      <c r="K77" s="267"/>
      <c r="M77" s="262"/>
      <c r="N77" s="61"/>
      <c r="O77" s="267"/>
      <c r="P77" s="61"/>
      <c r="Q77" s="267"/>
      <c r="R77" s="61"/>
      <c r="S77" s="267"/>
      <c r="U77" s="262"/>
      <c r="W77" s="262"/>
      <c r="Y77" s="262"/>
    </row>
    <row r="78" spans="3:25" ht="15.75" customHeight="1">
      <c r="C78" s="262"/>
      <c r="D78" s="262"/>
      <c r="E78" s="262"/>
      <c r="G78" s="262"/>
      <c r="I78" s="262"/>
      <c r="J78" s="61"/>
      <c r="K78" s="267"/>
      <c r="M78" s="262"/>
      <c r="N78" s="61"/>
      <c r="O78" s="267"/>
      <c r="P78" s="61"/>
      <c r="Q78" s="267"/>
      <c r="R78" s="61"/>
      <c r="S78" s="267"/>
      <c r="U78" s="262"/>
      <c r="W78" s="262"/>
      <c r="Y78" s="262"/>
    </row>
    <row r="79" spans="3:25" ht="15.75" customHeight="1">
      <c r="C79" s="262"/>
      <c r="D79" s="262"/>
      <c r="E79" s="262"/>
      <c r="G79" s="262"/>
      <c r="I79" s="262"/>
      <c r="J79" s="61"/>
      <c r="K79" s="267"/>
      <c r="M79" s="262"/>
      <c r="N79" s="61"/>
      <c r="O79" s="267"/>
      <c r="P79" s="61"/>
      <c r="Q79" s="267"/>
      <c r="R79" s="61"/>
      <c r="S79" s="267"/>
      <c r="U79" s="262"/>
      <c r="W79" s="262"/>
      <c r="Y79" s="262"/>
    </row>
    <row r="80" spans="3:25" ht="17.25" customHeight="1">
      <c r="C80" s="262"/>
      <c r="D80" s="262"/>
      <c r="E80" s="262"/>
      <c r="G80" s="262"/>
      <c r="I80" s="262"/>
      <c r="J80" s="61"/>
      <c r="K80" s="267"/>
      <c r="M80" s="262"/>
      <c r="N80" s="61"/>
      <c r="O80" s="267"/>
      <c r="P80" s="61"/>
      <c r="Q80" s="267"/>
      <c r="R80" s="61"/>
      <c r="S80" s="267"/>
      <c r="U80" s="262"/>
      <c r="W80" s="262"/>
      <c r="Y80" s="262"/>
    </row>
    <row r="81" spans="3:25" ht="17.25" customHeight="1">
      <c r="C81" s="262"/>
      <c r="D81" s="262"/>
      <c r="E81" s="262"/>
      <c r="G81" s="262"/>
      <c r="I81" s="262"/>
      <c r="J81" s="61"/>
      <c r="K81" s="267"/>
      <c r="M81" s="262"/>
      <c r="N81" s="61"/>
      <c r="O81" s="267"/>
      <c r="P81" s="61"/>
      <c r="Q81" s="267"/>
      <c r="R81" s="61"/>
      <c r="S81" s="267"/>
      <c r="U81" s="262"/>
      <c r="W81" s="262"/>
      <c r="Y81" s="262"/>
    </row>
    <row r="82" spans="3:25" ht="18" customHeight="1">
      <c r="C82" s="262"/>
      <c r="D82" s="262"/>
      <c r="E82" s="262"/>
      <c r="G82" s="262"/>
      <c r="I82" s="262"/>
      <c r="J82" s="61"/>
      <c r="K82" s="267"/>
      <c r="M82" s="262"/>
      <c r="N82" s="61"/>
      <c r="O82" s="267"/>
      <c r="P82" s="61"/>
      <c r="Q82" s="267"/>
      <c r="R82" s="61"/>
      <c r="S82" s="267"/>
      <c r="U82" s="262"/>
      <c r="W82" s="262"/>
      <c r="Y82" s="262"/>
    </row>
    <row r="83" spans="3:25" ht="18.75" customHeight="1">
      <c r="C83" s="262"/>
      <c r="D83" s="262"/>
      <c r="E83" s="262"/>
      <c r="G83" s="262"/>
      <c r="I83" s="262"/>
      <c r="J83" s="61"/>
      <c r="K83" s="267"/>
      <c r="M83" s="262"/>
      <c r="N83" s="61"/>
      <c r="O83" s="267"/>
      <c r="P83" s="61"/>
      <c r="Q83" s="267"/>
      <c r="R83" s="61"/>
      <c r="S83" s="267"/>
      <c r="U83" s="262"/>
      <c r="W83" s="262"/>
      <c r="Y83" s="262"/>
    </row>
    <row r="84" spans="3:25" ht="15.75" customHeight="1">
      <c r="C84" s="262"/>
      <c r="D84" s="262"/>
      <c r="E84" s="262"/>
      <c r="G84" s="262"/>
      <c r="I84" s="262"/>
      <c r="J84" s="61"/>
      <c r="K84" s="267"/>
      <c r="M84" s="262"/>
      <c r="N84" s="61"/>
      <c r="O84" s="267"/>
      <c r="P84" s="61"/>
      <c r="Q84" s="267"/>
      <c r="R84" s="61"/>
      <c r="S84" s="267"/>
      <c r="U84" s="262"/>
      <c r="W84" s="262"/>
      <c r="Y84" s="262"/>
    </row>
    <row r="85" spans="3:25" ht="15.75" customHeight="1">
      <c r="C85" s="262"/>
      <c r="D85" s="262"/>
      <c r="E85" s="262"/>
      <c r="G85" s="262"/>
      <c r="I85" s="262"/>
      <c r="J85" s="61"/>
      <c r="K85" s="267"/>
      <c r="M85" s="262"/>
      <c r="N85" s="61"/>
      <c r="O85" s="267"/>
      <c r="P85" s="61"/>
      <c r="Q85" s="267"/>
      <c r="R85" s="61"/>
      <c r="S85" s="267"/>
      <c r="U85" s="262"/>
      <c r="W85" s="262"/>
      <c r="Y85" s="262"/>
    </row>
    <row r="86" spans="3:25" ht="15.75" customHeight="1">
      <c r="C86" s="262"/>
      <c r="D86" s="262"/>
      <c r="E86" s="262"/>
      <c r="G86" s="262"/>
      <c r="I86" s="262"/>
      <c r="J86" s="61"/>
      <c r="K86" s="267"/>
      <c r="M86" s="262"/>
      <c r="N86" s="61"/>
      <c r="O86" s="267"/>
      <c r="P86" s="61"/>
      <c r="Q86" s="267"/>
      <c r="R86" s="61"/>
      <c r="S86" s="267"/>
      <c r="U86" s="262"/>
      <c r="W86" s="262"/>
      <c r="Y86" s="262"/>
    </row>
    <row r="87" spans="3:25" ht="15.75" customHeight="1">
      <c r="C87" s="262"/>
      <c r="D87" s="262"/>
      <c r="E87" s="262"/>
      <c r="G87" s="262"/>
      <c r="I87" s="262"/>
      <c r="J87" s="61"/>
      <c r="K87" s="267"/>
      <c r="M87" s="262"/>
      <c r="N87" s="61"/>
      <c r="O87" s="267"/>
      <c r="P87" s="61"/>
      <c r="Q87" s="267"/>
      <c r="R87" s="61"/>
      <c r="S87" s="267"/>
      <c r="U87" s="262"/>
      <c r="W87" s="262"/>
      <c r="Y87" s="262"/>
    </row>
    <row r="88" spans="3:25" ht="15.75" customHeight="1">
      <c r="C88" s="262"/>
      <c r="D88" s="262"/>
      <c r="E88" s="262"/>
      <c r="G88" s="262"/>
      <c r="I88" s="262"/>
      <c r="J88" s="61"/>
      <c r="K88" s="267"/>
      <c r="M88" s="262"/>
      <c r="N88" s="61"/>
      <c r="O88" s="267"/>
      <c r="P88" s="61"/>
      <c r="Q88" s="267"/>
      <c r="R88" s="61"/>
      <c r="S88" s="267"/>
      <c r="U88" s="262"/>
      <c r="W88" s="262"/>
      <c r="Y88" s="262"/>
    </row>
    <row r="89" spans="3:25" ht="15.75" customHeight="1">
      <c r="C89" s="262"/>
      <c r="D89" s="262"/>
      <c r="E89" s="262"/>
      <c r="G89" s="262"/>
      <c r="I89" s="262"/>
      <c r="J89" s="61"/>
      <c r="K89" s="267"/>
      <c r="M89" s="262"/>
      <c r="N89" s="61"/>
      <c r="O89" s="267"/>
      <c r="P89" s="61"/>
      <c r="Q89" s="267"/>
      <c r="R89" s="61"/>
      <c r="S89" s="267"/>
      <c r="U89" s="262"/>
      <c r="W89" s="262"/>
      <c r="Y89" s="262"/>
    </row>
    <row r="90" spans="3:25" ht="15.75" customHeight="1">
      <c r="C90" s="262"/>
      <c r="D90" s="262"/>
      <c r="E90" s="262"/>
      <c r="G90" s="262"/>
      <c r="I90" s="262"/>
      <c r="J90" s="61"/>
      <c r="K90" s="267"/>
      <c r="M90" s="262"/>
      <c r="N90" s="61"/>
      <c r="O90" s="267"/>
      <c r="P90" s="61"/>
      <c r="Q90" s="267"/>
      <c r="R90" s="61"/>
      <c r="S90" s="267"/>
      <c r="U90" s="262"/>
      <c r="W90" s="262"/>
      <c r="Y90" s="262"/>
    </row>
    <row r="91" spans="3:25" ht="15.75" customHeight="1">
      <c r="C91" s="262"/>
      <c r="D91" s="262"/>
      <c r="E91" s="262"/>
      <c r="G91" s="262"/>
      <c r="I91" s="262"/>
      <c r="J91" s="61"/>
      <c r="K91" s="267"/>
      <c r="M91" s="262"/>
      <c r="N91" s="61"/>
      <c r="O91" s="267"/>
      <c r="P91" s="61"/>
      <c r="Q91" s="267"/>
      <c r="R91" s="61"/>
      <c r="S91" s="267"/>
      <c r="U91" s="262"/>
      <c r="W91" s="262"/>
      <c r="Y91" s="262"/>
    </row>
    <row r="92" spans="3:25" ht="15.75" customHeight="1">
      <c r="C92" s="262"/>
      <c r="D92" s="262"/>
      <c r="E92" s="262"/>
      <c r="G92" s="262"/>
      <c r="I92" s="262"/>
      <c r="J92" s="61"/>
      <c r="K92" s="267"/>
      <c r="M92" s="262"/>
      <c r="N92" s="61"/>
      <c r="O92" s="267"/>
      <c r="P92" s="61"/>
      <c r="Q92" s="267"/>
      <c r="R92" s="61"/>
      <c r="S92" s="267"/>
      <c r="U92" s="262"/>
      <c r="W92" s="262"/>
      <c r="Y92" s="262"/>
    </row>
    <row r="93" spans="3:25" ht="15.75" customHeight="1">
      <c r="C93" s="262"/>
      <c r="D93" s="262"/>
      <c r="E93" s="262"/>
      <c r="G93" s="262"/>
      <c r="I93" s="262"/>
      <c r="J93" s="61"/>
      <c r="K93" s="267"/>
      <c r="M93" s="262"/>
      <c r="N93" s="61"/>
      <c r="O93" s="267"/>
      <c r="P93" s="61"/>
      <c r="Q93" s="267"/>
      <c r="R93" s="61"/>
      <c r="S93" s="267"/>
      <c r="U93" s="262"/>
      <c r="W93" s="262"/>
      <c r="Y93" s="262"/>
    </row>
    <row r="94" spans="3:25" ht="15.75" customHeight="1">
      <c r="C94" s="262"/>
      <c r="D94" s="262"/>
      <c r="E94" s="262"/>
      <c r="G94" s="262"/>
      <c r="I94" s="262"/>
      <c r="J94" s="61"/>
      <c r="K94" s="267"/>
      <c r="M94" s="262"/>
      <c r="N94" s="61"/>
      <c r="O94" s="267"/>
      <c r="P94" s="61"/>
      <c r="Q94" s="267"/>
      <c r="R94" s="61"/>
      <c r="S94" s="267"/>
      <c r="U94" s="262"/>
      <c r="W94" s="262"/>
      <c r="Y94" s="262"/>
    </row>
    <row r="95" spans="3:25" ht="15.75" customHeight="1">
      <c r="C95" s="262"/>
      <c r="D95" s="262"/>
      <c r="E95" s="262"/>
      <c r="G95" s="262"/>
      <c r="I95" s="262"/>
      <c r="J95" s="61"/>
      <c r="K95" s="267"/>
      <c r="M95" s="262"/>
      <c r="N95" s="61"/>
      <c r="O95" s="267"/>
      <c r="P95" s="61"/>
      <c r="Q95" s="267"/>
      <c r="R95" s="61"/>
      <c r="S95" s="267"/>
      <c r="U95" s="262"/>
      <c r="W95" s="262"/>
      <c r="Y95" s="262"/>
    </row>
    <row r="96" spans="3:25" ht="15.75" customHeight="1">
      <c r="C96" s="262"/>
      <c r="D96" s="262"/>
      <c r="E96" s="262"/>
      <c r="G96" s="262"/>
      <c r="I96" s="262"/>
      <c r="J96" s="61"/>
      <c r="K96" s="267"/>
      <c r="M96" s="262"/>
      <c r="N96" s="61"/>
      <c r="O96" s="267"/>
      <c r="P96" s="61"/>
      <c r="Q96" s="267"/>
      <c r="R96" s="61"/>
      <c r="S96" s="267"/>
      <c r="U96" s="262"/>
      <c r="W96" s="262"/>
      <c r="Y96" s="262"/>
    </row>
    <row r="97" spans="3:25" ht="15.75" customHeight="1">
      <c r="C97" s="262"/>
      <c r="D97" s="262"/>
      <c r="E97" s="262"/>
      <c r="G97" s="262"/>
      <c r="I97" s="262"/>
      <c r="J97" s="61"/>
      <c r="K97" s="267"/>
      <c r="M97" s="262"/>
      <c r="N97" s="61"/>
      <c r="O97" s="267"/>
      <c r="P97" s="61"/>
      <c r="Q97" s="267"/>
      <c r="R97" s="61"/>
      <c r="S97" s="267"/>
      <c r="U97" s="262"/>
      <c r="W97" s="262"/>
      <c r="Y97" s="262"/>
    </row>
    <row r="98" spans="3:25" ht="15.75" customHeight="1">
      <c r="C98" s="262"/>
      <c r="D98" s="262"/>
      <c r="E98" s="262"/>
      <c r="G98" s="262"/>
      <c r="I98" s="262"/>
      <c r="J98" s="61"/>
      <c r="K98" s="267"/>
      <c r="M98" s="262"/>
      <c r="N98" s="61"/>
      <c r="O98" s="267"/>
      <c r="P98" s="61"/>
      <c r="Q98" s="267"/>
      <c r="R98" s="61"/>
      <c r="S98" s="267"/>
      <c r="U98" s="262"/>
      <c r="W98" s="262"/>
      <c r="Y98" s="262"/>
    </row>
    <row r="99" spans="3:25" ht="15.75" customHeight="1">
      <c r="C99" s="262"/>
      <c r="D99" s="262"/>
      <c r="E99" s="262"/>
      <c r="G99" s="262"/>
      <c r="I99" s="262"/>
      <c r="J99" s="61"/>
      <c r="K99" s="267"/>
      <c r="M99" s="262"/>
      <c r="N99" s="61"/>
      <c r="O99" s="267"/>
      <c r="P99" s="61"/>
      <c r="Q99" s="267"/>
      <c r="R99" s="61"/>
      <c r="S99" s="267"/>
      <c r="U99" s="262"/>
      <c r="W99" s="262"/>
      <c r="Y99" s="262"/>
    </row>
    <row r="100" spans="3:25" ht="15.75" customHeight="1">
      <c r="C100" s="262"/>
      <c r="D100" s="262"/>
      <c r="E100" s="262"/>
      <c r="G100" s="262"/>
      <c r="I100" s="262"/>
      <c r="J100" s="61"/>
      <c r="K100" s="267"/>
      <c r="M100" s="262"/>
      <c r="N100" s="61"/>
      <c r="O100" s="267"/>
      <c r="P100" s="61"/>
      <c r="Q100" s="267"/>
      <c r="R100" s="61"/>
      <c r="S100" s="267"/>
      <c r="U100" s="262"/>
      <c r="W100" s="262"/>
      <c r="Y100" s="262"/>
    </row>
    <row r="101" spans="3:25" ht="15.75" customHeight="1">
      <c r="C101" s="262"/>
      <c r="D101" s="262"/>
      <c r="E101" s="262"/>
      <c r="G101" s="262"/>
      <c r="I101" s="262"/>
      <c r="J101" s="61"/>
      <c r="K101" s="267"/>
      <c r="M101" s="262"/>
      <c r="N101" s="61"/>
      <c r="O101" s="267"/>
      <c r="P101" s="61"/>
      <c r="Q101" s="267"/>
      <c r="R101" s="61"/>
      <c r="S101" s="267"/>
      <c r="U101" s="262"/>
      <c r="W101" s="262"/>
      <c r="Y101" s="262"/>
    </row>
    <row r="102" spans="3:25" ht="15.75" customHeight="1">
      <c r="C102" s="262"/>
      <c r="D102" s="262"/>
      <c r="E102" s="262"/>
      <c r="G102" s="262"/>
      <c r="I102" s="262"/>
      <c r="J102" s="61"/>
      <c r="K102" s="267"/>
      <c r="M102" s="262"/>
      <c r="N102" s="61"/>
      <c r="O102" s="267"/>
      <c r="P102" s="61"/>
      <c r="Q102" s="267"/>
      <c r="R102" s="61"/>
      <c r="S102" s="267"/>
      <c r="U102" s="262"/>
      <c r="W102" s="262"/>
      <c r="Y102" s="262"/>
    </row>
    <row r="103" spans="3:25" ht="15.75" customHeight="1">
      <c r="C103" s="262"/>
      <c r="D103" s="262"/>
      <c r="E103" s="262"/>
      <c r="G103" s="262"/>
      <c r="I103" s="262"/>
      <c r="J103" s="61"/>
      <c r="K103" s="267"/>
      <c r="M103" s="262"/>
      <c r="N103" s="61"/>
      <c r="O103" s="267"/>
      <c r="P103" s="61"/>
      <c r="Q103" s="267"/>
      <c r="R103" s="61"/>
      <c r="S103" s="267"/>
      <c r="U103" s="262"/>
      <c r="W103" s="262"/>
      <c r="Y103" s="262"/>
    </row>
    <row r="104" spans="3:25" ht="15.75" customHeight="1">
      <c r="C104" s="262"/>
      <c r="D104" s="262"/>
      <c r="E104" s="262"/>
      <c r="G104" s="262"/>
      <c r="I104" s="262"/>
      <c r="J104" s="61"/>
      <c r="K104" s="267"/>
      <c r="M104" s="262"/>
      <c r="N104" s="61"/>
      <c r="O104" s="267"/>
      <c r="P104" s="61"/>
      <c r="Q104" s="267"/>
      <c r="R104" s="61"/>
      <c r="S104" s="267"/>
      <c r="U104" s="262"/>
      <c r="W104" s="262"/>
      <c r="Y104" s="262"/>
    </row>
  </sheetData>
  <sheetProtection/>
  <mergeCells count="13">
    <mergeCell ref="X2:Y2"/>
    <mergeCell ref="J2:K2"/>
    <mergeCell ref="V2:W2"/>
    <mergeCell ref="N2:O2"/>
    <mergeCell ref="T2:U2"/>
    <mergeCell ref="D2:E2"/>
    <mergeCell ref="R2:S2"/>
    <mergeCell ref="P2:Q2"/>
    <mergeCell ref="A2:A3"/>
    <mergeCell ref="B2:C2"/>
    <mergeCell ref="F2:G2"/>
    <mergeCell ref="H2:I2"/>
    <mergeCell ref="L2:M2"/>
  </mergeCells>
  <printOptions horizontalCentered="1"/>
  <pageMargins left="0" right="0" top="0.15748031496062992" bottom="0.03937007874015748" header="0.31496062992125984" footer="0.2362204724409449"/>
  <pageSetup horizontalDpi="600" verticalDpi="600" orientation="landscape" paperSize="9" scale="78" r:id="rId1"/>
  <rowBreaks count="1" manualBreakCount="1">
    <brk id="22" max="24" man="1"/>
  </rowBreaks>
</worksheet>
</file>

<file path=xl/worksheets/sheet12.xml><?xml version="1.0" encoding="utf-8"?>
<worksheet xmlns="http://schemas.openxmlformats.org/spreadsheetml/2006/main" xmlns:r="http://schemas.openxmlformats.org/officeDocument/2006/relationships">
  <sheetPr>
    <tabColor indexed="14"/>
  </sheetPr>
  <dimension ref="A1:N264"/>
  <sheetViews>
    <sheetView zoomScalePageLayoutView="0" workbookViewId="0" topLeftCell="A1">
      <pane xSplit="4" ySplit="3" topLeftCell="E4" activePane="bottomRight" state="frozen"/>
      <selection pane="topLeft" activeCell="L32" sqref="L32"/>
      <selection pane="topRight" activeCell="L32" sqref="L32"/>
      <selection pane="bottomLeft" activeCell="L32" sqref="L32"/>
      <selection pane="bottomRight" activeCell="C12" sqref="C12"/>
    </sheetView>
  </sheetViews>
  <sheetFormatPr defaultColWidth="9.140625" defaultRowHeight="12.75"/>
  <cols>
    <col min="1" max="1" width="10.57421875" style="106" customWidth="1"/>
    <col min="2" max="2" width="3.00390625" style="186" bestFit="1" customWidth="1"/>
    <col min="3" max="3" width="54.00390625" style="173" customWidth="1"/>
    <col min="4" max="4" width="14.140625" style="107" customWidth="1"/>
    <col min="5" max="5" width="5.140625" style="106" bestFit="1" customWidth="1"/>
    <col min="6" max="6" width="9.28125" style="6" bestFit="1" customWidth="1"/>
    <col min="7" max="7" width="5.00390625" style="610" bestFit="1" customWidth="1"/>
    <col min="8" max="8" width="6.7109375" style="0" bestFit="1" customWidth="1"/>
    <col min="9" max="9" width="5.00390625" style="6" bestFit="1" customWidth="1"/>
    <col min="10" max="10" width="8.28125" style="6" customWidth="1"/>
    <col min="11" max="12" width="6.421875" style="6" customWidth="1"/>
    <col min="13" max="13" width="4.8515625" style="6" customWidth="1"/>
    <col min="14" max="14" width="9.28125" style="6" bestFit="1" customWidth="1"/>
    <col min="15" max="16384" width="9.140625" style="6" customWidth="1"/>
  </cols>
  <sheetData>
    <row r="1" spans="1:13" ht="24.75" customHeight="1" thickBot="1">
      <c r="A1" s="160" t="s">
        <v>401</v>
      </c>
      <c r="C1" s="127"/>
      <c r="D1" s="99"/>
      <c r="E1" s="100"/>
      <c r="M1" s="19" t="s">
        <v>0</v>
      </c>
    </row>
    <row r="2" spans="1:14" s="126" customFormat="1" ht="34.5" customHeight="1" thickBot="1">
      <c r="A2" s="665" t="s">
        <v>115</v>
      </c>
      <c r="B2" s="666"/>
      <c r="C2" s="668" t="s">
        <v>116</v>
      </c>
      <c r="D2" s="667" t="s">
        <v>117</v>
      </c>
      <c r="E2" s="1223" t="s">
        <v>106</v>
      </c>
      <c r="F2" s="1223"/>
      <c r="G2" s="1223" t="s">
        <v>59</v>
      </c>
      <c r="H2" s="1223"/>
      <c r="I2" s="1223" t="s">
        <v>60</v>
      </c>
      <c r="J2" s="1223"/>
      <c r="K2" s="1225" t="s">
        <v>56</v>
      </c>
      <c r="L2" s="1257" t="s">
        <v>57</v>
      </c>
      <c r="M2" s="1255" t="s">
        <v>107</v>
      </c>
      <c r="N2" s="1256"/>
    </row>
    <row r="3" spans="1:14" ht="22.5" thickBot="1">
      <c r="A3" s="669"/>
      <c r="B3" s="670"/>
      <c r="C3" s="672"/>
      <c r="D3" s="671"/>
      <c r="E3" s="462" t="s">
        <v>10</v>
      </c>
      <c r="F3" s="463" t="s">
        <v>9</v>
      </c>
      <c r="G3" s="608" t="s">
        <v>10</v>
      </c>
      <c r="H3" s="463" t="s">
        <v>9</v>
      </c>
      <c r="I3" s="608" t="s">
        <v>10</v>
      </c>
      <c r="J3" s="463" t="s">
        <v>9</v>
      </c>
      <c r="K3" s="1226"/>
      <c r="L3" s="1258"/>
      <c r="M3" s="608" t="s">
        <v>10</v>
      </c>
      <c r="N3" s="463" t="s">
        <v>9</v>
      </c>
    </row>
    <row r="4" spans="1:14" s="252" customFormat="1" ht="57.75" customHeight="1">
      <c r="A4" s="678" t="s">
        <v>469</v>
      </c>
      <c r="B4" s="690">
        <v>1</v>
      </c>
      <c r="C4" s="674" t="s">
        <v>484</v>
      </c>
      <c r="D4" s="688" t="s">
        <v>73</v>
      </c>
      <c r="E4" s="675"/>
      <c r="F4" s="682"/>
      <c r="G4" s="675"/>
      <c r="H4" s="782"/>
      <c r="I4" s="675">
        <v>1</v>
      </c>
      <c r="J4" s="682">
        <f>39157/1000</f>
        <v>39.157</v>
      </c>
      <c r="K4" s="675"/>
      <c r="L4" s="682"/>
      <c r="M4" s="701">
        <f>E4+G4</f>
        <v>0</v>
      </c>
      <c r="N4" s="684">
        <f>F4+H4+J4+K4+L4</f>
        <v>39.157</v>
      </c>
    </row>
    <row r="5" spans="1:14" s="244" customFormat="1" ht="24" customHeight="1">
      <c r="A5" s="622"/>
      <c r="B5" s="622"/>
      <c r="C5" s="624" t="s">
        <v>152</v>
      </c>
      <c r="D5" s="623"/>
      <c r="E5" s="624"/>
      <c r="F5" s="689"/>
      <c r="G5" s="624"/>
      <c r="H5" s="893"/>
      <c r="I5" s="971">
        <f>SUM(I4)</f>
        <v>1</v>
      </c>
      <c r="J5" s="893">
        <f>SUM(J4)</f>
        <v>39.157</v>
      </c>
      <c r="K5" s="689"/>
      <c r="L5" s="689"/>
      <c r="M5" s="702">
        <f>SUM(M4:M4)</f>
        <v>0</v>
      </c>
      <c r="N5" s="626">
        <f>SUM(N4:N4)</f>
        <v>39.157</v>
      </c>
    </row>
    <row r="6" spans="1:14" ht="59.25" customHeight="1">
      <c r="A6" s="678" t="s">
        <v>470</v>
      </c>
      <c r="B6" s="781">
        <v>2</v>
      </c>
      <c r="C6" s="1042" t="s">
        <v>665</v>
      </c>
      <c r="D6" s="1027" t="s">
        <v>70</v>
      </c>
      <c r="E6" s="781">
        <v>10</v>
      </c>
      <c r="F6" s="782">
        <v>1530.4</v>
      </c>
      <c r="G6" s="675"/>
      <c r="H6" s="803"/>
      <c r="I6" s="783"/>
      <c r="J6" s="784"/>
      <c r="K6" s="783"/>
      <c r="L6" s="783"/>
      <c r="M6" s="1028">
        <f>E6+G6+I6+J6+K6</f>
        <v>10</v>
      </c>
      <c r="N6" s="684">
        <f>F6+H6+J6+K6+L6</f>
        <v>1530.4</v>
      </c>
    </row>
    <row r="7" spans="1:14" ht="101.25">
      <c r="A7" s="678"/>
      <c r="B7" s="781">
        <v>3</v>
      </c>
      <c r="C7" s="1042" t="s">
        <v>494</v>
      </c>
      <c r="D7" s="1027" t="s">
        <v>84</v>
      </c>
      <c r="E7" s="781">
        <v>22</v>
      </c>
      <c r="F7" s="782">
        <v>1463.8</v>
      </c>
      <c r="G7" s="675"/>
      <c r="H7" s="803"/>
      <c r="I7" s="783"/>
      <c r="J7" s="784"/>
      <c r="K7" s="783"/>
      <c r="L7" s="783"/>
      <c r="M7" s="1028">
        <f>E7+G7+I7+J7+K7</f>
        <v>22</v>
      </c>
      <c r="N7" s="684">
        <f>F7+H7+J7+K7+L7</f>
        <v>1463.8</v>
      </c>
    </row>
    <row r="8" spans="1:14" s="244" customFormat="1" ht="24" customHeight="1">
      <c r="A8" s="622"/>
      <c r="B8" s="622"/>
      <c r="C8" s="624" t="s">
        <v>152</v>
      </c>
      <c r="D8" s="623"/>
      <c r="E8" s="624">
        <f>SUM(E6:E7)</f>
        <v>32</v>
      </c>
      <c r="F8" s="689">
        <f>SUM(F6:F7)</f>
        <v>2994.2</v>
      </c>
      <c r="G8" s="624"/>
      <c r="H8" s="893"/>
      <c r="I8" s="971"/>
      <c r="J8" s="893"/>
      <c r="K8" s="689"/>
      <c r="L8" s="689"/>
      <c r="M8" s="702">
        <f>SUM(M6:M7)</f>
        <v>32</v>
      </c>
      <c r="N8" s="626">
        <f>SUM(N6:N7)</f>
        <v>2994.2</v>
      </c>
    </row>
    <row r="9" spans="1:14" ht="59.25" customHeight="1">
      <c r="A9" s="678" t="s">
        <v>547</v>
      </c>
      <c r="B9" s="781">
        <v>2</v>
      </c>
      <c r="C9" s="1042" t="s">
        <v>548</v>
      </c>
      <c r="D9" s="1027"/>
      <c r="E9" s="781">
        <v>20</v>
      </c>
      <c r="F9" s="782">
        <v>865</v>
      </c>
      <c r="G9" s="675"/>
      <c r="H9" s="803"/>
      <c r="I9" s="783"/>
      <c r="J9" s="784"/>
      <c r="K9" s="783"/>
      <c r="L9" s="783"/>
      <c r="M9" s="1028">
        <f>E9+G9+I9+J9+K9</f>
        <v>20</v>
      </c>
      <c r="N9" s="684">
        <f>F9+H9+J9+K9+L9</f>
        <v>865</v>
      </c>
    </row>
    <row r="10" spans="1:14" s="244" customFormat="1" ht="24" customHeight="1">
      <c r="A10" s="622"/>
      <c r="B10" s="622"/>
      <c r="C10" s="624" t="s">
        <v>152</v>
      </c>
      <c r="D10" s="623"/>
      <c r="E10" s="624">
        <f>SUM(E9:E9)</f>
        <v>20</v>
      </c>
      <c r="F10" s="689">
        <f>SUM(F9:F9)</f>
        <v>865</v>
      </c>
      <c r="G10" s="624"/>
      <c r="H10" s="893"/>
      <c r="I10" s="971"/>
      <c r="J10" s="893"/>
      <c r="K10" s="689"/>
      <c r="L10" s="689"/>
      <c r="M10" s="702">
        <f>SUM(M9:M9)</f>
        <v>20</v>
      </c>
      <c r="N10" s="626">
        <f>SUM(N9:N9)</f>
        <v>865</v>
      </c>
    </row>
    <row r="11" spans="1:14" s="251" customFormat="1" ht="60.75">
      <c r="A11" s="678" t="s">
        <v>486</v>
      </c>
      <c r="B11" s="1038">
        <v>4</v>
      </c>
      <c r="C11" s="674" t="s">
        <v>487</v>
      </c>
      <c r="D11" s="688" t="s">
        <v>72</v>
      </c>
      <c r="E11" s="675"/>
      <c r="F11" s="682"/>
      <c r="G11" s="675">
        <v>0</v>
      </c>
      <c r="H11" s="782">
        <v>12.5</v>
      </c>
      <c r="I11" s="675"/>
      <c r="J11" s="682"/>
      <c r="K11" s="675"/>
      <c r="L11" s="682"/>
      <c r="M11" s="701">
        <f>E11+G11</f>
        <v>0</v>
      </c>
      <c r="N11" s="684">
        <f>F11+H11+J11+K11+L11</f>
        <v>12.5</v>
      </c>
    </row>
    <row r="12" spans="1:14" s="251" customFormat="1" ht="81">
      <c r="A12" s="678"/>
      <c r="B12" s="1038">
        <v>5</v>
      </c>
      <c r="C12" s="674" t="s">
        <v>502</v>
      </c>
      <c r="D12" s="688" t="s">
        <v>72</v>
      </c>
      <c r="E12" s="675"/>
      <c r="F12" s="682"/>
      <c r="G12" s="675">
        <v>1</v>
      </c>
      <c r="H12" s="782">
        <v>140.1</v>
      </c>
      <c r="I12" s="675"/>
      <c r="J12" s="682"/>
      <c r="K12" s="675"/>
      <c r="L12" s="682"/>
      <c r="M12" s="701">
        <f>E12+G12</f>
        <v>1</v>
      </c>
      <c r="N12" s="684">
        <f>F12+H12+J12+K12+L12</f>
        <v>140.1</v>
      </c>
    </row>
    <row r="13" spans="1:14" s="251" customFormat="1" ht="21">
      <c r="A13" s="622"/>
      <c r="B13" s="622"/>
      <c r="C13" s="624" t="s">
        <v>152</v>
      </c>
      <c r="D13" s="623"/>
      <c r="E13" s="624"/>
      <c r="F13" s="689"/>
      <c r="G13" s="624">
        <f>SUM(G11:G12)</f>
        <v>1</v>
      </c>
      <c r="H13" s="893">
        <f>SUM(H11:H12)</f>
        <v>152.6</v>
      </c>
      <c r="I13" s="971"/>
      <c r="J13" s="893"/>
      <c r="K13" s="689"/>
      <c r="L13" s="689"/>
      <c r="M13" s="702">
        <f>SUM(M11:M12)</f>
        <v>1</v>
      </c>
      <c r="N13" s="626">
        <f>SUM(N11:N12)</f>
        <v>152.6</v>
      </c>
    </row>
    <row r="14" spans="1:14" s="251" customFormat="1" ht="102.75" customHeight="1">
      <c r="A14" s="679" t="s">
        <v>159</v>
      </c>
      <c r="B14" s="680">
        <v>6</v>
      </c>
      <c r="C14" s="674" t="s">
        <v>479</v>
      </c>
      <c r="D14" s="681" t="s">
        <v>63</v>
      </c>
      <c r="E14" s="675"/>
      <c r="F14" s="682"/>
      <c r="G14" s="675"/>
      <c r="H14" s="483"/>
      <c r="I14" s="783">
        <v>4</v>
      </c>
      <c r="J14" s="784">
        <f>(102760+49366+42710)/1000</f>
        <v>194.836</v>
      </c>
      <c r="K14" s="783">
        <f>666295.48/1000</f>
        <v>666.29548</v>
      </c>
      <c r="L14" s="783"/>
      <c r="M14" s="701">
        <f>E14+G14</f>
        <v>0</v>
      </c>
      <c r="N14" s="684">
        <f>F14+H14+J14+K14+L14</f>
        <v>861.13148</v>
      </c>
    </row>
    <row r="15" spans="1:14" s="249" customFormat="1" ht="40.5">
      <c r="A15" s="683"/>
      <c r="B15" s="680">
        <v>7</v>
      </c>
      <c r="C15" s="674" t="s">
        <v>489</v>
      </c>
      <c r="D15" s="688" t="s">
        <v>65</v>
      </c>
      <c r="E15" s="872"/>
      <c r="F15" s="782"/>
      <c r="G15" s="675"/>
      <c r="H15" s="483"/>
      <c r="I15" s="783">
        <v>5</v>
      </c>
      <c r="J15" s="784">
        <f>120025/1000</f>
        <v>120.025</v>
      </c>
      <c r="K15" s="683"/>
      <c r="L15" s="683"/>
      <c r="M15" s="701">
        <f>E15+G15</f>
        <v>0</v>
      </c>
      <c r="N15" s="684">
        <f>F15+H15+J15+K15+L15</f>
        <v>120.025</v>
      </c>
    </row>
    <row r="16" spans="1:14" s="251" customFormat="1" ht="60.75">
      <c r="A16" s="685"/>
      <c r="B16" s="680">
        <v>8</v>
      </c>
      <c r="C16" s="686" t="s">
        <v>480</v>
      </c>
      <c r="D16" s="681" t="s">
        <v>70</v>
      </c>
      <c r="E16" s="781"/>
      <c r="F16" s="782"/>
      <c r="G16" s="675"/>
      <c r="H16" s="483"/>
      <c r="I16" s="783">
        <v>4</v>
      </c>
      <c r="J16" s="784">
        <f>(141467+199916)/1000</f>
        <v>341.383</v>
      </c>
      <c r="K16" s="784">
        <v>10</v>
      </c>
      <c r="L16" s="783"/>
      <c r="M16" s="701">
        <f>E16+G16</f>
        <v>0</v>
      </c>
      <c r="N16" s="684">
        <f>F16+H16+J16+K16+L16</f>
        <v>351.383</v>
      </c>
    </row>
    <row r="17" spans="1:14" s="244" customFormat="1" ht="60.75">
      <c r="A17" s="683"/>
      <c r="B17" s="680">
        <v>9</v>
      </c>
      <c r="C17" s="674" t="s">
        <v>481</v>
      </c>
      <c r="D17" s="688" t="s">
        <v>84</v>
      </c>
      <c r="E17" s="872"/>
      <c r="F17" s="782"/>
      <c r="G17" s="675"/>
      <c r="H17" s="483"/>
      <c r="I17" s="783">
        <v>4</v>
      </c>
      <c r="J17" s="784">
        <f>(141467+199916)/1000</f>
        <v>341.383</v>
      </c>
      <c r="K17" s="683"/>
      <c r="L17" s="683"/>
      <c r="M17" s="701">
        <f>E17+G17</f>
        <v>0</v>
      </c>
      <c r="N17" s="684">
        <f>F17+H17+J17+K17+L17</f>
        <v>341.383</v>
      </c>
    </row>
    <row r="18" spans="1:14" s="244" customFormat="1" ht="40.5">
      <c r="A18" s="683"/>
      <c r="B18" s="680">
        <v>10</v>
      </c>
      <c r="C18" s="674" t="s">
        <v>490</v>
      </c>
      <c r="D18" s="688" t="s">
        <v>84</v>
      </c>
      <c r="E18" s="872"/>
      <c r="F18" s="782"/>
      <c r="G18" s="675"/>
      <c r="H18" s="483"/>
      <c r="I18" s="783">
        <v>4</v>
      </c>
      <c r="J18" s="784">
        <f>101675/1000</f>
        <v>101.675</v>
      </c>
      <c r="K18" s="683"/>
      <c r="L18" s="683"/>
      <c r="M18" s="701">
        <f>E18+G18</f>
        <v>0</v>
      </c>
      <c r="N18" s="684">
        <f>F18+H18+J18+K18+L18</f>
        <v>101.675</v>
      </c>
    </row>
    <row r="19" spans="1:14" s="249" customFormat="1" ht="21">
      <c r="A19" s="622"/>
      <c r="B19" s="622"/>
      <c r="C19" s="624" t="s">
        <v>152</v>
      </c>
      <c r="D19" s="623"/>
      <c r="E19" s="624">
        <f aca="true" t="shared" si="0" ref="E19:N19">SUM(E14:E18)</f>
        <v>0</v>
      </c>
      <c r="F19" s="689">
        <f t="shared" si="0"/>
        <v>0</v>
      </c>
      <c r="G19" s="624">
        <f t="shared" si="0"/>
        <v>0</v>
      </c>
      <c r="H19" s="689">
        <f t="shared" si="0"/>
        <v>0</v>
      </c>
      <c r="I19" s="624">
        <f t="shared" si="0"/>
        <v>21</v>
      </c>
      <c r="J19" s="689">
        <f t="shared" si="0"/>
        <v>1099.302</v>
      </c>
      <c r="K19" s="689">
        <f t="shared" si="0"/>
        <v>676.29548</v>
      </c>
      <c r="L19" s="689">
        <f t="shared" si="0"/>
        <v>0</v>
      </c>
      <c r="M19" s="689">
        <f t="shared" si="0"/>
        <v>0</v>
      </c>
      <c r="N19" s="689">
        <f t="shared" si="0"/>
        <v>1775.59748</v>
      </c>
    </row>
    <row r="20" spans="1:14" s="244" customFormat="1" ht="81">
      <c r="A20" s="678" t="s">
        <v>549</v>
      </c>
      <c r="B20" s="1038">
        <v>11</v>
      </c>
      <c r="C20" s="674" t="s">
        <v>550</v>
      </c>
      <c r="D20" s="688" t="s">
        <v>65</v>
      </c>
      <c r="E20" s="675">
        <v>24</v>
      </c>
      <c r="F20" s="682">
        <v>627.3</v>
      </c>
      <c r="G20" s="675"/>
      <c r="H20" s="782"/>
      <c r="I20" s="675"/>
      <c r="J20" s="682"/>
      <c r="K20" s="675"/>
      <c r="L20" s="682"/>
      <c r="M20" s="701">
        <f>E20+G20</f>
        <v>24</v>
      </c>
      <c r="N20" s="684">
        <f>F20+H20+J20+K20+L20</f>
        <v>627.3</v>
      </c>
    </row>
    <row r="21" spans="1:14" s="244" customFormat="1" ht="81">
      <c r="A21" s="678"/>
      <c r="B21" s="1038">
        <v>12</v>
      </c>
      <c r="C21" s="674" t="s">
        <v>567</v>
      </c>
      <c r="D21" s="688" t="s">
        <v>69</v>
      </c>
      <c r="E21" s="675">
        <v>12</v>
      </c>
      <c r="F21" s="682">
        <v>1008.7</v>
      </c>
      <c r="G21" s="675"/>
      <c r="H21" s="782"/>
      <c r="I21" s="675"/>
      <c r="J21" s="682"/>
      <c r="K21" s="675"/>
      <c r="L21" s="682"/>
      <c r="M21" s="701">
        <f>E21+G21</f>
        <v>12</v>
      </c>
      <c r="N21" s="684">
        <f>F21+H21+J21+K21+L21</f>
        <v>1008.7</v>
      </c>
    </row>
    <row r="22" spans="1:14" s="244" customFormat="1" ht="24" customHeight="1">
      <c r="A22" s="622"/>
      <c r="B22" s="622"/>
      <c r="C22" s="624" t="s">
        <v>152</v>
      </c>
      <c r="D22" s="623"/>
      <c r="E22" s="787">
        <f>SUM(E20:E21)</f>
        <v>36</v>
      </c>
      <c r="F22" s="787">
        <f aca="true" t="shared" si="1" ref="F22:N22">SUM(F20:F21)</f>
        <v>1636</v>
      </c>
      <c r="G22" s="787">
        <f t="shared" si="1"/>
        <v>0</v>
      </c>
      <c r="H22" s="787">
        <f t="shared" si="1"/>
        <v>0</v>
      </c>
      <c r="I22" s="787">
        <f t="shared" si="1"/>
        <v>0</v>
      </c>
      <c r="J22" s="787">
        <f t="shared" si="1"/>
        <v>0</v>
      </c>
      <c r="K22" s="787">
        <f t="shared" si="1"/>
        <v>0</v>
      </c>
      <c r="L22" s="787">
        <f t="shared" si="1"/>
        <v>0</v>
      </c>
      <c r="M22" s="787">
        <f t="shared" si="1"/>
        <v>36</v>
      </c>
      <c r="N22" s="787">
        <f t="shared" si="1"/>
        <v>1636</v>
      </c>
    </row>
    <row r="23" spans="1:14" s="249" customFormat="1" ht="39" customHeight="1">
      <c r="A23" s="687" t="s">
        <v>119</v>
      </c>
      <c r="B23" s="673">
        <v>13</v>
      </c>
      <c r="C23" s="691" t="s">
        <v>473</v>
      </c>
      <c r="D23" s="618" t="s">
        <v>63</v>
      </c>
      <c r="E23" s="788"/>
      <c r="F23" s="789"/>
      <c r="G23" s="692"/>
      <c r="H23" s="484"/>
      <c r="I23" s="693">
        <v>4</v>
      </c>
      <c r="J23" s="693">
        <v>84.4</v>
      </c>
      <c r="K23" s="693"/>
      <c r="L23" s="693"/>
      <c r="M23" s="701">
        <f aca="true" t="shared" si="2" ref="M23:M34">E23+G23</f>
        <v>0</v>
      </c>
      <c r="N23" s="684">
        <f aca="true" t="shared" si="3" ref="N23:N34">F23+H23+J23+K23+L23</f>
        <v>84.4</v>
      </c>
    </row>
    <row r="24" spans="1:14" s="249" customFormat="1" ht="23.25" customHeight="1">
      <c r="A24" s="687"/>
      <c r="B24" s="673">
        <v>14</v>
      </c>
      <c r="C24" s="691" t="s">
        <v>488</v>
      </c>
      <c r="D24" s="618" t="s">
        <v>63</v>
      </c>
      <c r="E24" s="788"/>
      <c r="F24" s="789"/>
      <c r="G24" s="692"/>
      <c r="H24" s="484"/>
      <c r="I24" s="693">
        <v>4</v>
      </c>
      <c r="J24" s="693">
        <v>1210.8</v>
      </c>
      <c r="K24" s="693"/>
      <c r="L24" s="693"/>
      <c r="M24" s="701">
        <f t="shared" si="2"/>
        <v>0</v>
      </c>
      <c r="N24" s="684">
        <f t="shared" si="3"/>
        <v>1210.8</v>
      </c>
    </row>
    <row r="25" spans="1:14" s="249" customFormat="1" ht="81">
      <c r="A25" s="687"/>
      <c r="B25" s="673"/>
      <c r="C25" s="1041" t="s">
        <v>495</v>
      </c>
      <c r="D25" s="618"/>
      <c r="E25" s="788">
        <v>24</v>
      </c>
      <c r="F25" s="789">
        <v>2570</v>
      </c>
      <c r="G25" s="692"/>
      <c r="H25" s="484"/>
      <c r="I25" s="693"/>
      <c r="J25" s="693"/>
      <c r="K25" s="693"/>
      <c r="L25" s="693"/>
      <c r="M25" s="701">
        <f t="shared" si="2"/>
        <v>24</v>
      </c>
      <c r="N25" s="684">
        <f t="shared" si="3"/>
        <v>2570</v>
      </c>
    </row>
    <row r="26" spans="1:14" s="249" customFormat="1" ht="81">
      <c r="A26" s="687"/>
      <c r="B26" s="673"/>
      <c r="C26" s="1041" t="s">
        <v>496</v>
      </c>
      <c r="D26" s="618"/>
      <c r="E26" s="788">
        <v>28</v>
      </c>
      <c r="F26" s="789">
        <v>5105</v>
      </c>
      <c r="G26" s="692"/>
      <c r="H26" s="484"/>
      <c r="I26" s="693"/>
      <c r="J26" s="693"/>
      <c r="K26" s="693"/>
      <c r="L26" s="693"/>
      <c r="M26" s="701">
        <f t="shared" si="2"/>
        <v>28</v>
      </c>
      <c r="N26" s="684">
        <f t="shared" si="3"/>
        <v>5105</v>
      </c>
    </row>
    <row r="27" spans="1:14" s="249" customFormat="1" ht="81">
      <c r="A27" s="687"/>
      <c r="B27" s="1038">
        <v>15</v>
      </c>
      <c r="C27" s="691" t="s">
        <v>477</v>
      </c>
      <c r="D27" s="618" t="s">
        <v>76</v>
      </c>
      <c r="E27" s="788">
        <v>25</v>
      </c>
      <c r="F27" s="1040">
        <v>1041.5</v>
      </c>
      <c r="G27" s="788"/>
      <c r="H27" s="762"/>
      <c r="I27" s="1039"/>
      <c r="J27" s="1039"/>
      <c r="K27" s="1039"/>
      <c r="L27" s="1039"/>
      <c r="M27" s="701">
        <f t="shared" si="2"/>
        <v>25</v>
      </c>
      <c r="N27" s="684">
        <f t="shared" si="3"/>
        <v>1041.5</v>
      </c>
    </row>
    <row r="28" spans="1:14" s="247" customFormat="1" ht="61.5" customHeight="1">
      <c r="A28" s="685"/>
      <c r="B28" s="1036">
        <v>16</v>
      </c>
      <c r="C28" s="691" t="s">
        <v>475</v>
      </c>
      <c r="D28" s="618" t="s">
        <v>136</v>
      </c>
      <c r="E28" s="781">
        <v>12</v>
      </c>
      <c r="F28" s="1037">
        <v>849.9</v>
      </c>
      <c r="G28" s="781"/>
      <c r="H28" s="803"/>
      <c r="I28" s="783"/>
      <c r="J28" s="783"/>
      <c r="K28" s="783"/>
      <c r="L28" s="783"/>
      <c r="M28" s="701">
        <f t="shared" si="2"/>
        <v>12</v>
      </c>
      <c r="N28" s="684">
        <f t="shared" si="3"/>
        <v>849.9</v>
      </c>
    </row>
    <row r="29" spans="1:14" s="247" customFormat="1" ht="60.75">
      <c r="A29" s="687"/>
      <c r="B29" s="673">
        <v>17</v>
      </c>
      <c r="C29" s="1035" t="s">
        <v>483</v>
      </c>
      <c r="D29" s="618" t="s">
        <v>73</v>
      </c>
      <c r="E29" s="788">
        <v>15</v>
      </c>
      <c r="F29" s="789">
        <v>345.3</v>
      </c>
      <c r="G29" s="692"/>
      <c r="H29" s="484"/>
      <c r="I29" s="693"/>
      <c r="J29" s="693"/>
      <c r="K29" s="693"/>
      <c r="L29" s="693"/>
      <c r="M29" s="701">
        <f t="shared" si="2"/>
        <v>15</v>
      </c>
      <c r="N29" s="684">
        <f t="shared" si="3"/>
        <v>345.3</v>
      </c>
    </row>
    <row r="30" spans="1:14" s="249" customFormat="1" ht="60.75">
      <c r="A30" s="685"/>
      <c r="B30" s="680">
        <v>18</v>
      </c>
      <c r="C30" s="691" t="s">
        <v>478</v>
      </c>
      <c r="D30" s="618" t="s">
        <v>72</v>
      </c>
      <c r="E30" s="781">
        <v>5</v>
      </c>
      <c r="F30" s="782">
        <f>340482*1.1/1000</f>
        <v>374.53020000000004</v>
      </c>
      <c r="G30" s="676"/>
      <c r="H30" s="483"/>
      <c r="I30" s="677"/>
      <c r="J30" s="677"/>
      <c r="K30" s="677"/>
      <c r="L30" s="677"/>
      <c r="M30" s="701">
        <f t="shared" si="2"/>
        <v>5</v>
      </c>
      <c r="N30" s="684">
        <f t="shared" si="3"/>
        <v>374.53020000000004</v>
      </c>
    </row>
    <row r="31" spans="1:14" s="249" customFormat="1" ht="60.75">
      <c r="A31" s="685"/>
      <c r="B31" s="680">
        <v>19</v>
      </c>
      <c r="C31" s="691" t="s">
        <v>474</v>
      </c>
      <c r="D31" s="618" t="s">
        <v>74</v>
      </c>
      <c r="E31" s="781">
        <v>10</v>
      </c>
      <c r="F31" s="782">
        <v>486.2</v>
      </c>
      <c r="G31" s="676"/>
      <c r="H31" s="483"/>
      <c r="I31" s="677"/>
      <c r="J31" s="677"/>
      <c r="K31" s="677"/>
      <c r="L31" s="677"/>
      <c r="M31" s="701">
        <f t="shared" si="2"/>
        <v>10</v>
      </c>
      <c r="N31" s="684">
        <f t="shared" si="3"/>
        <v>486.2</v>
      </c>
    </row>
    <row r="32" spans="1:14" s="249" customFormat="1" ht="62.25" customHeight="1">
      <c r="A32" s="687"/>
      <c r="B32" s="673">
        <v>20</v>
      </c>
      <c r="C32" s="691" t="s">
        <v>482</v>
      </c>
      <c r="D32" s="618" t="s">
        <v>74</v>
      </c>
      <c r="E32" s="788"/>
      <c r="F32" s="789"/>
      <c r="G32" s="692"/>
      <c r="H32" s="484"/>
      <c r="I32" s="693">
        <v>5</v>
      </c>
      <c r="J32" s="1034">
        <f>206498/1000</f>
        <v>206.498</v>
      </c>
      <c r="K32" s="693"/>
      <c r="L32" s="693"/>
      <c r="M32" s="701">
        <f t="shared" si="2"/>
        <v>0</v>
      </c>
      <c r="N32" s="684">
        <f t="shared" si="3"/>
        <v>206.498</v>
      </c>
    </row>
    <row r="33" spans="1:14" s="244" customFormat="1" ht="40.5">
      <c r="A33" s="687"/>
      <c r="B33" s="673">
        <v>21</v>
      </c>
      <c r="C33" s="691" t="s">
        <v>476</v>
      </c>
      <c r="D33" s="618" t="s">
        <v>74</v>
      </c>
      <c r="E33" s="788">
        <v>9</v>
      </c>
      <c r="F33" s="789">
        <v>280.4</v>
      </c>
      <c r="G33" s="692"/>
      <c r="H33" s="484"/>
      <c r="I33" s="693"/>
      <c r="J33" s="1034"/>
      <c r="K33" s="693"/>
      <c r="L33" s="693"/>
      <c r="M33" s="701">
        <f t="shared" si="2"/>
        <v>9</v>
      </c>
      <c r="N33" s="684">
        <f t="shared" si="3"/>
        <v>280.4</v>
      </c>
    </row>
    <row r="34" spans="1:14" s="1031" customFormat="1" ht="63" customHeight="1">
      <c r="A34" s="687"/>
      <c r="B34" s="673">
        <v>22</v>
      </c>
      <c r="C34" s="691" t="s">
        <v>485</v>
      </c>
      <c r="D34" s="618" t="s">
        <v>84</v>
      </c>
      <c r="E34" s="788">
        <v>19</v>
      </c>
      <c r="F34" s="789">
        <v>299.5</v>
      </c>
      <c r="G34" s="692"/>
      <c r="H34" s="484"/>
      <c r="I34" s="693"/>
      <c r="J34" s="1034"/>
      <c r="K34" s="693"/>
      <c r="L34" s="693"/>
      <c r="M34" s="701">
        <f t="shared" si="2"/>
        <v>19</v>
      </c>
      <c r="N34" s="684">
        <f t="shared" si="3"/>
        <v>299.5</v>
      </c>
    </row>
    <row r="35" spans="1:14" s="244" customFormat="1" ht="24" customHeight="1">
      <c r="A35" s="622"/>
      <c r="B35" s="622"/>
      <c r="C35" s="624" t="s">
        <v>152</v>
      </c>
      <c r="D35" s="623"/>
      <c r="E35" s="787">
        <f aca="true" t="shared" si="4" ref="E35:N35">SUM(E23:E34)</f>
        <v>147</v>
      </c>
      <c r="F35" s="790">
        <f t="shared" si="4"/>
        <v>11352.330199999999</v>
      </c>
      <c r="G35" s="787">
        <f t="shared" si="4"/>
        <v>0</v>
      </c>
      <c r="H35" s="790">
        <f t="shared" si="4"/>
        <v>0</v>
      </c>
      <c r="I35" s="787">
        <f t="shared" si="4"/>
        <v>13</v>
      </c>
      <c r="J35" s="790">
        <f t="shared" si="4"/>
        <v>1501.698</v>
      </c>
      <c r="K35" s="790">
        <f t="shared" si="4"/>
        <v>0</v>
      </c>
      <c r="L35" s="790">
        <f t="shared" si="4"/>
        <v>0</v>
      </c>
      <c r="M35" s="787">
        <f t="shared" si="4"/>
        <v>147</v>
      </c>
      <c r="N35" s="790">
        <f t="shared" si="4"/>
        <v>12854.028199999999</v>
      </c>
    </row>
    <row r="36" spans="1:14" s="244" customFormat="1" ht="82.5" customHeight="1">
      <c r="A36" s="694" t="s">
        <v>471</v>
      </c>
      <c r="B36" s="1029">
        <v>23</v>
      </c>
      <c r="C36" s="697" t="s">
        <v>491</v>
      </c>
      <c r="D36" s="696" t="s">
        <v>71</v>
      </c>
      <c r="E36" s="785">
        <v>9</v>
      </c>
      <c r="F36" s="786">
        <v>479.1</v>
      </c>
      <c r="G36" s="696"/>
      <c r="H36" s="1030"/>
      <c r="I36" s="699"/>
      <c r="J36" s="1033"/>
      <c r="K36" s="699"/>
      <c r="L36" s="699"/>
      <c r="M36" s="701">
        <f>E36+G36</f>
        <v>9</v>
      </c>
      <c r="N36" s="684">
        <f>F36+H36+J36+K36+L36</f>
        <v>479.1</v>
      </c>
    </row>
    <row r="37" spans="1:14" s="244" customFormat="1" ht="62.25" customHeight="1">
      <c r="A37" s="694"/>
      <c r="B37" s="1029">
        <v>24</v>
      </c>
      <c r="C37" s="697" t="s">
        <v>579</v>
      </c>
      <c r="D37" s="696" t="s">
        <v>73</v>
      </c>
      <c r="E37" s="785">
        <v>9</v>
      </c>
      <c r="F37" s="786">
        <v>1223.1</v>
      </c>
      <c r="G37" s="696"/>
      <c r="H37" s="1030"/>
      <c r="I37" s="699"/>
      <c r="J37" s="1033"/>
      <c r="K37" s="699"/>
      <c r="L37" s="699"/>
      <c r="M37" s="1086">
        <f>E37+G37</f>
        <v>9</v>
      </c>
      <c r="N37" s="1087">
        <f>F37+H37+J37+K37+L37</f>
        <v>1223.1</v>
      </c>
    </row>
    <row r="38" spans="1:14" s="244" customFormat="1" ht="24" customHeight="1">
      <c r="A38" s="622"/>
      <c r="B38" s="622"/>
      <c r="C38" s="624" t="s">
        <v>152</v>
      </c>
      <c r="D38" s="623"/>
      <c r="E38" s="787">
        <f>SUM(E36:E37)</f>
        <v>18</v>
      </c>
      <c r="F38" s="787">
        <f>SUM(F36:F37)</f>
        <v>1702.1999999999998</v>
      </c>
      <c r="G38" s="787"/>
      <c r="H38" s="787"/>
      <c r="I38" s="787"/>
      <c r="J38" s="790"/>
      <c r="K38" s="787"/>
      <c r="L38" s="787"/>
      <c r="M38" s="787">
        <f>SUM(M36:M37)</f>
        <v>18</v>
      </c>
      <c r="N38" s="790">
        <f>SUM(N36:N37)</f>
        <v>1702.1999999999998</v>
      </c>
    </row>
    <row r="39" spans="1:14" s="244" customFormat="1" ht="40.5">
      <c r="A39" s="678" t="s">
        <v>492</v>
      </c>
      <c r="B39" s="1038">
        <v>25</v>
      </c>
      <c r="C39" s="674" t="s">
        <v>493</v>
      </c>
      <c r="D39" s="688" t="s">
        <v>72</v>
      </c>
      <c r="E39" s="675"/>
      <c r="F39" s="682"/>
      <c r="G39" s="675">
        <v>1</v>
      </c>
      <c r="H39" s="782">
        <v>141.8</v>
      </c>
      <c r="I39" s="675"/>
      <c r="J39" s="682"/>
      <c r="K39" s="675"/>
      <c r="L39" s="682"/>
      <c r="M39" s="701">
        <f>E39+G39</f>
        <v>1</v>
      </c>
      <c r="N39" s="684">
        <f>F39+H39+J39+K39+L39</f>
        <v>141.8</v>
      </c>
    </row>
    <row r="40" spans="1:14" s="244" customFormat="1" ht="24" customHeight="1">
      <c r="A40" s="1043"/>
      <c r="B40" s="1043"/>
      <c r="C40" s="1044"/>
      <c r="D40" s="1045"/>
      <c r="E40" s="1046"/>
      <c r="F40" s="1046"/>
      <c r="G40" s="1046">
        <f>SUM(G39)</f>
        <v>1</v>
      </c>
      <c r="H40" s="1047">
        <f>SUM(H39)</f>
        <v>141.8</v>
      </c>
      <c r="I40" s="1046"/>
      <c r="J40" s="1047"/>
      <c r="K40" s="1046"/>
      <c r="L40" s="1046"/>
      <c r="M40" s="1046">
        <f>SUM(M39)</f>
        <v>1</v>
      </c>
      <c r="N40" s="1047">
        <f>SUM(N39)</f>
        <v>141.8</v>
      </c>
    </row>
    <row r="41" spans="1:14" s="255" customFormat="1" ht="40.5">
      <c r="A41" s="694" t="s">
        <v>120</v>
      </c>
      <c r="B41" s="695">
        <v>26</v>
      </c>
      <c r="C41" s="697" t="s">
        <v>472</v>
      </c>
      <c r="D41" s="696" t="s">
        <v>71</v>
      </c>
      <c r="E41" s="785"/>
      <c r="F41" s="786"/>
      <c r="G41" s="696"/>
      <c r="H41" s="698"/>
      <c r="I41" s="871">
        <v>3</v>
      </c>
      <c r="J41" s="1032">
        <v>180.1</v>
      </c>
      <c r="K41" s="699"/>
      <c r="L41" s="699"/>
      <c r="M41" s="791">
        <f>E41+G41</f>
        <v>0</v>
      </c>
      <c r="N41" s="792">
        <f>F41+H41+J41+K41+L41</f>
        <v>180.1</v>
      </c>
    </row>
    <row r="42" spans="1:14" s="255" customFormat="1" ht="40.5">
      <c r="A42" s="694"/>
      <c r="B42" s="695">
        <v>27</v>
      </c>
      <c r="C42" s="697" t="s">
        <v>664</v>
      </c>
      <c r="D42" s="696" t="s">
        <v>71</v>
      </c>
      <c r="E42" s="785">
        <v>24</v>
      </c>
      <c r="F42" s="786">
        <v>2122.8</v>
      </c>
      <c r="G42" s="696"/>
      <c r="H42" s="698"/>
      <c r="I42" s="871">
        <v>4</v>
      </c>
      <c r="J42" s="1032">
        <v>75.8</v>
      </c>
      <c r="K42" s="699"/>
      <c r="L42" s="699"/>
      <c r="M42" s="791">
        <f>E42+G42</f>
        <v>24</v>
      </c>
      <c r="N42" s="792">
        <f>F42+H42+J42+K42+L42</f>
        <v>2198.6000000000004</v>
      </c>
    </row>
    <row r="43" spans="1:14" s="108" customFormat="1" ht="19.5" customHeight="1" thickBot="1">
      <c r="A43" s="622"/>
      <c r="B43" s="622"/>
      <c r="C43" s="624" t="s">
        <v>152</v>
      </c>
      <c r="D43" s="623"/>
      <c r="E43" s="787">
        <f>SUM(E42)</f>
        <v>24</v>
      </c>
      <c r="F43" s="790">
        <f>SUM(F42)</f>
        <v>2122.8</v>
      </c>
      <c r="G43" s="787"/>
      <c r="H43" s="787"/>
      <c r="I43" s="787">
        <f>SUM(I41:I42)</f>
        <v>7</v>
      </c>
      <c r="J43" s="790">
        <f>SUM(J41:J42)</f>
        <v>255.89999999999998</v>
      </c>
      <c r="K43" s="787"/>
      <c r="L43" s="787"/>
      <c r="M43" s="787">
        <f>SUM(M41:M42)</f>
        <v>24</v>
      </c>
      <c r="N43" s="790">
        <f>SUM(N41:N42)</f>
        <v>2378.7000000000003</v>
      </c>
    </row>
    <row r="44" spans="1:14" s="108" customFormat="1" ht="19.5" customHeight="1" thickBot="1">
      <c r="A44" s="700"/>
      <c r="B44" s="628"/>
      <c r="C44" s="630" t="s">
        <v>53</v>
      </c>
      <c r="D44" s="629"/>
      <c r="E44" s="631">
        <f>SUM(E5:E43)/2</f>
        <v>277</v>
      </c>
      <c r="F44" s="970">
        <f>SUM(F5:F43)/2</f>
        <v>20672.5302</v>
      </c>
      <c r="G44" s="631">
        <f>SUM(G5:G43)/2</f>
        <v>2</v>
      </c>
      <c r="H44" s="970">
        <f>SUM(H5:H43)/2</f>
        <v>294.4</v>
      </c>
      <c r="I44" s="631">
        <f>SUM(I4:I43)/2</f>
        <v>42</v>
      </c>
      <c r="J44" s="970">
        <f>SUM(J4:J43)/2</f>
        <v>2896.057</v>
      </c>
      <c r="K44" s="970">
        <f>SUM(K4:K43)/2</f>
        <v>676.29548</v>
      </c>
      <c r="L44" s="631">
        <f>SUM(L14:L43)/2</f>
        <v>0</v>
      </c>
      <c r="M44" s="631">
        <f>SUM(M4:M43)/2</f>
        <v>279</v>
      </c>
      <c r="N44" s="970">
        <f>SUM(N4:N43)/2</f>
        <v>24539.282679999997</v>
      </c>
    </row>
    <row r="45" spans="1:14" s="7" customFormat="1" ht="18.75" customHeight="1">
      <c r="A45" s="132"/>
      <c r="B45" s="179"/>
      <c r="C45" s="169"/>
      <c r="D45" s="93"/>
      <c r="E45" s="129"/>
      <c r="F45" s="238"/>
      <c r="G45" s="611"/>
      <c r="H45" s="80"/>
      <c r="I45" s="108"/>
      <c r="J45" s="108"/>
      <c r="K45" s="108"/>
      <c r="L45" s="108"/>
      <c r="M45" s="108"/>
      <c r="N45" s="108"/>
    </row>
    <row r="46" spans="1:14" s="7" customFormat="1" ht="18.75" customHeight="1">
      <c r="A46" s="62"/>
      <c r="B46" s="89"/>
      <c r="C46" s="169"/>
      <c r="D46" s="131"/>
      <c r="E46" s="129"/>
      <c r="F46" s="237"/>
      <c r="G46" s="611"/>
      <c r="H46" s="80"/>
      <c r="I46" s="108"/>
      <c r="J46" s="108"/>
      <c r="K46" s="108"/>
      <c r="L46" s="108"/>
      <c r="M46" s="108"/>
      <c r="N46" s="108"/>
    </row>
    <row r="47" spans="1:8" s="7" customFormat="1" ht="18.75" customHeight="1">
      <c r="A47" s="174"/>
      <c r="B47" s="128"/>
      <c r="C47" s="168"/>
      <c r="D47" s="131"/>
      <c r="E47" s="184"/>
      <c r="F47" s="239"/>
      <c r="G47" s="874"/>
      <c r="H47" s="80"/>
    </row>
    <row r="48" spans="1:8" s="7" customFormat="1" ht="18.75" customHeight="1">
      <c r="A48" s="174"/>
      <c r="B48" s="128"/>
      <c r="C48" s="168"/>
      <c r="D48" s="131"/>
      <c r="E48" s="129"/>
      <c r="F48" s="237"/>
      <c r="G48" s="530"/>
      <c r="H48" s="80"/>
    </row>
    <row r="49" spans="1:8" s="7" customFormat="1" ht="18.75" customHeight="1">
      <c r="A49" s="174"/>
      <c r="B49" s="128"/>
      <c r="C49" s="168"/>
      <c r="D49" s="131"/>
      <c r="E49" s="184"/>
      <c r="F49" s="239"/>
      <c r="G49" s="530"/>
      <c r="H49" s="80"/>
    </row>
    <row r="50" spans="1:8" s="7" customFormat="1" ht="18.75" customHeight="1">
      <c r="A50" s="174"/>
      <c r="B50" s="128"/>
      <c r="C50" s="168"/>
      <c r="D50" s="131"/>
      <c r="E50" s="184"/>
      <c r="F50" s="237"/>
      <c r="G50" s="530"/>
      <c r="H50" s="80"/>
    </row>
    <row r="51" spans="1:14" s="108" customFormat="1" ht="19.5" customHeight="1">
      <c r="A51" s="174"/>
      <c r="B51" s="128"/>
      <c r="C51" s="168"/>
      <c r="D51" s="131"/>
      <c r="E51" s="129"/>
      <c r="F51" s="237"/>
      <c r="G51" s="530"/>
      <c r="H51" s="80"/>
      <c r="I51" s="7"/>
      <c r="J51" s="7"/>
      <c r="K51" s="7"/>
      <c r="L51" s="7"/>
      <c r="M51" s="7"/>
      <c r="N51" s="7"/>
    </row>
    <row r="52" spans="1:14" s="108" customFormat="1" ht="19.5" customHeight="1">
      <c r="A52" s="174"/>
      <c r="B52" s="128"/>
      <c r="C52" s="168"/>
      <c r="D52" s="131"/>
      <c r="E52" s="129"/>
      <c r="F52" s="237"/>
      <c r="G52" s="530"/>
      <c r="H52" s="80"/>
      <c r="I52" s="7"/>
      <c r="J52" s="7"/>
      <c r="K52" s="7"/>
      <c r="L52" s="7"/>
      <c r="M52" s="7"/>
      <c r="N52" s="7"/>
    </row>
    <row r="53" spans="1:14" ht="21.75">
      <c r="A53" s="101"/>
      <c r="B53" s="128"/>
      <c r="C53" s="167"/>
      <c r="D53" s="196"/>
      <c r="E53" s="129"/>
      <c r="F53" s="237"/>
      <c r="G53" s="611"/>
      <c r="H53" s="80"/>
      <c r="I53" s="108"/>
      <c r="J53" s="108"/>
      <c r="K53" s="108"/>
      <c r="L53" s="108"/>
      <c r="M53" s="108"/>
      <c r="N53" s="108"/>
    </row>
    <row r="54" spans="1:14" ht="21.75">
      <c r="A54" s="101"/>
      <c r="B54" s="128"/>
      <c r="C54" s="167"/>
      <c r="D54" s="196"/>
      <c r="E54" s="129"/>
      <c r="F54" s="237"/>
      <c r="G54" s="611"/>
      <c r="H54" s="80"/>
      <c r="I54" s="108"/>
      <c r="J54" s="108"/>
      <c r="K54" s="108"/>
      <c r="L54" s="108"/>
      <c r="M54" s="108"/>
      <c r="N54" s="108"/>
    </row>
    <row r="55" spans="1:14" s="201" customFormat="1" ht="21.75" customHeight="1">
      <c r="A55" s="106"/>
      <c r="B55" s="186"/>
      <c r="C55" s="173"/>
      <c r="D55" s="107"/>
      <c r="E55" s="106"/>
      <c r="F55" s="240"/>
      <c r="G55" s="610"/>
      <c r="H55"/>
      <c r="I55" s="6"/>
      <c r="J55" s="6"/>
      <c r="K55" s="6"/>
      <c r="L55" s="6"/>
      <c r="M55" s="6"/>
      <c r="N55" s="6"/>
    </row>
    <row r="56" spans="1:14" s="3" customFormat="1" ht="18" customHeight="1">
      <c r="A56" s="106"/>
      <c r="B56" s="186"/>
      <c r="C56" s="173"/>
      <c r="D56" s="107"/>
      <c r="E56" s="106"/>
      <c r="F56" s="240"/>
      <c r="G56" s="610"/>
      <c r="H56"/>
      <c r="I56" s="6"/>
      <c r="J56" s="6"/>
      <c r="K56" s="6"/>
      <c r="L56" s="6"/>
      <c r="M56" s="6"/>
      <c r="N56" s="6"/>
    </row>
    <row r="57" spans="1:14" ht="19.5" customHeight="1">
      <c r="A57" s="200"/>
      <c r="B57" s="183"/>
      <c r="C57" s="201"/>
      <c r="D57" s="202"/>
      <c r="E57" s="200"/>
      <c r="F57" s="241"/>
      <c r="G57" s="200"/>
      <c r="H57" s="203"/>
      <c r="I57" s="201"/>
      <c r="J57" s="201"/>
      <c r="K57" s="201"/>
      <c r="L57" s="201"/>
      <c r="M57" s="201"/>
      <c r="N57" s="201"/>
    </row>
    <row r="58" spans="1:14" ht="20.25">
      <c r="A58" s="103"/>
      <c r="B58" s="183"/>
      <c r="C58" s="170"/>
      <c r="D58" s="104"/>
      <c r="E58" s="102"/>
      <c r="F58" s="242"/>
      <c r="G58" s="2"/>
      <c r="I58" s="3"/>
      <c r="J58" s="3"/>
      <c r="K58" s="3"/>
      <c r="L58" s="3"/>
      <c r="M58" s="3"/>
      <c r="N58" s="3"/>
    </row>
    <row r="59" spans="2:6" ht="17.25">
      <c r="B59" s="88"/>
      <c r="C59" s="171"/>
      <c r="F59" s="243"/>
    </row>
    <row r="60" spans="2:6" ht="17.25">
      <c r="B60" s="88"/>
      <c r="C60" s="171"/>
      <c r="F60" s="243"/>
    </row>
    <row r="61" spans="2:6" ht="17.25">
      <c r="B61" s="88"/>
      <c r="C61" s="171"/>
      <c r="F61" s="243"/>
    </row>
    <row r="62" spans="2:6" ht="17.25">
      <c r="B62" s="88"/>
      <c r="C62" s="171"/>
      <c r="F62" s="243"/>
    </row>
    <row r="63" spans="2:6" ht="17.25">
      <c r="B63" s="88"/>
      <c r="C63" s="171"/>
      <c r="F63" s="243"/>
    </row>
    <row r="64" spans="2:6" ht="17.25">
      <c r="B64" s="88"/>
      <c r="C64" s="171"/>
      <c r="F64" s="243"/>
    </row>
    <row r="65" spans="2:6" ht="17.25">
      <c r="B65" s="88"/>
      <c r="C65" s="171"/>
      <c r="F65" s="243"/>
    </row>
    <row r="66" spans="2:6" ht="17.25">
      <c r="B66" s="88"/>
      <c r="C66" s="171"/>
      <c r="F66" s="243"/>
    </row>
    <row r="67" spans="2:6" ht="17.25">
      <c r="B67" s="88"/>
      <c r="C67" s="171"/>
      <c r="F67" s="243"/>
    </row>
    <row r="68" spans="2:6" ht="17.25">
      <c r="B68" s="88"/>
      <c r="C68" s="171"/>
      <c r="F68" s="243"/>
    </row>
    <row r="69" spans="2:6" ht="17.25">
      <c r="B69" s="88"/>
      <c r="C69" s="171"/>
      <c r="F69" s="243"/>
    </row>
    <row r="70" spans="2:6" ht="17.25">
      <c r="B70" s="88"/>
      <c r="C70" s="171"/>
      <c r="F70" s="243"/>
    </row>
    <row r="71" spans="2:6" ht="17.25">
      <c r="B71" s="88"/>
      <c r="C71" s="171"/>
      <c r="F71" s="243"/>
    </row>
    <row r="72" spans="2:6" ht="17.25">
      <c r="B72" s="88"/>
      <c r="C72" s="171"/>
      <c r="F72" s="243"/>
    </row>
    <row r="73" spans="2:6" ht="17.25">
      <c r="B73" s="88"/>
      <c r="C73" s="171"/>
      <c r="F73" s="243"/>
    </row>
    <row r="74" spans="2:6" ht="17.25">
      <c r="B74" s="88"/>
      <c r="C74" s="171"/>
      <c r="F74" s="243"/>
    </row>
    <row r="75" spans="2:7" ht="17.25">
      <c r="B75" s="88"/>
      <c r="C75" s="171"/>
      <c r="G75" s="610"/>
    </row>
    <row r="76" spans="2:7" ht="17.25">
      <c r="B76" s="88"/>
      <c r="C76" s="171"/>
      <c r="G76" s="610"/>
    </row>
    <row r="77" spans="2:7" ht="17.25">
      <c r="B77" s="88"/>
      <c r="C77" s="171"/>
      <c r="G77" s="610"/>
    </row>
    <row r="78" spans="2:7" ht="17.25">
      <c r="B78" s="88"/>
      <c r="C78" s="171"/>
      <c r="G78" s="610"/>
    </row>
    <row r="79" spans="2:7" ht="17.25">
      <c r="B79" s="88"/>
      <c r="C79" s="171"/>
      <c r="G79" s="610"/>
    </row>
    <row r="80" spans="2:7" ht="17.25">
      <c r="B80" s="88"/>
      <c r="C80" s="171"/>
      <c r="G80" s="610"/>
    </row>
    <row r="81" spans="2:7" ht="17.25">
      <c r="B81" s="88"/>
      <c r="C81" s="171"/>
      <c r="G81" s="610"/>
    </row>
    <row r="82" spans="2:7" ht="17.25">
      <c r="B82" s="88"/>
      <c r="C82" s="171"/>
      <c r="G82" s="610"/>
    </row>
    <row r="83" spans="2:7" ht="17.25">
      <c r="B83" s="88"/>
      <c r="C83" s="171"/>
      <c r="G83" s="610"/>
    </row>
    <row r="84" spans="2:7" ht="17.25">
      <c r="B84" s="88"/>
      <c r="C84" s="171"/>
      <c r="G84" s="610"/>
    </row>
    <row r="85" spans="2:7" ht="17.25">
      <c r="B85" s="88"/>
      <c r="C85" s="171"/>
      <c r="G85" s="610"/>
    </row>
    <row r="86" spans="2:7" ht="17.25">
      <c r="B86" s="88"/>
      <c r="C86" s="171"/>
      <c r="G86" s="610"/>
    </row>
    <row r="87" spans="2:7" ht="17.25">
      <c r="B87" s="88"/>
      <c r="C87" s="171"/>
      <c r="G87" s="610"/>
    </row>
    <row r="88" spans="2:7" ht="17.25">
      <c r="B88" s="88"/>
      <c r="C88" s="171"/>
      <c r="G88" s="610"/>
    </row>
    <row r="89" spans="2:7" ht="17.25">
      <c r="B89" s="88"/>
      <c r="C89" s="171"/>
      <c r="G89" s="610"/>
    </row>
    <row r="90" spans="2:7" ht="17.25">
      <c r="B90" s="88"/>
      <c r="C90" s="171"/>
      <c r="G90" s="610"/>
    </row>
    <row r="91" spans="2:7" ht="17.25">
      <c r="B91" s="88"/>
      <c r="C91" s="171"/>
      <c r="G91" s="610"/>
    </row>
    <row r="92" spans="2:7" ht="17.25">
      <c r="B92" s="88"/>
      <c r="C92" s="171"/>
      <c r="G92" s="610"/>
    </row>
    <row r="93" spans="2:7" ht="17.25">
      <c r="B93" s="88"/>
      <c r="C93" s="171"/>
      <c r="G93" s="610"/>
    </row>
    <row r="94" spans="2:7" ht="17.25">
      <c r="B94" s="88"/>
      <c r="C94" s="171"/>
      <c r="G94" s="610"/>
    </row>
    <row r="95" spans="2:7" ht="17.25">
      <c r="B95" s="88"/>
      <c r="C95" s="171"/>
      <c r="G95" s="610"/>
    </row>
    <row r="96" spans="2:7" ht="17.25">
      <c r="B96" s="88"/>
      <c r="C96" s="171"/>
      <c r="G96" s="610"/>
    </row>
    <row r="97" spans="2:7" ht="17.25">
      <c r="B97" s="88"/>
      <c r="C97" s="171"/>
      <c r="G97" s="610"/>
    </row>
    <row r="98" spans="2:7" ht="17.25">
      <c r="B98" s="88"/>
      <c r="C98" s="171"/>
      <c r="G98" s="610"/>
    </row>
    <row r="99" spans="2:7" ht="17.25">
      <c r="B99" s="88"/>
      <c r="C99" s="171"/>
      <c r="G99" s="610"/>
    </row>
    <row r="100" spans="2:7" ht="18.75" customHeight="1">
      <c r="B100" s="88"/>
      <c r="C100" s="171"/>
      <c r="G100" s="610"/>
    </row>
    <row r="101" spans="2:7" ht="18" customHeight="1">
      <c r="B101" s="88"/>
      <c r="C101" s="171"/>
      <c r="G101" s="610"/>
    </row>
    <row r="102" spans="2:7" ht="18" customHeight="1">
      <c r="B102" s="88"/>
      <c r="C102" s="171"/>
      <c r="G102" s="610"/>
    </row>
    <row r="103" spans="2:7" ht="18.75" customHeight="1">
      <c r="B103" s="88"/>
      <c r="C103" s="171"/>
      <c r="G103" s="610"/>
    </row>
    <row r="104" spans="2:7" ht="18.75" customHeight="1">
      <c r="B104" s="88"/>
      <c r="C104" s="171"/>
      <c r="G104" s="610"/>
    </row>
    <row r="105" spans="2:7" ht="17.25" customHeight="1">
      <c r="B105" s="88"/>
      <c r="C105" s="171"/>
      <c r="G105" s="610"/>
    </row>
    <row r="106" spans="2:7" ht="19.5" customHeight="1">
      <c r="B106" s="88"/>
      <c r="C106" s="171"/>
      <c r="G106" s="610"/>
    </row>
    <row r="107" spans="2:7" ht="19.5" customHeight="1">
      <c r="B107" s="88"/>
      <c r="C107" s="171"/>
      <c r="G107" s="610"/>
    </row>
    <row r="108" spans="2:7" ht="17.25">
      <c r="B108" s="88"/>
      <c r="C108" s="171"/>
      <c r="G108" s="610"/>
    </row>
    <row r="109" spans="2:7" ht="18.75" customHeight="1">
      <c r="B109" s="88"/>
      <c r="C109" s="171"/>
      <c r="G109" s="610"/>
    </row>
    <row r="110" spans="2:7" ht="18.75" customHeight="1">
      <c r="B110" s="88"/>
      <c r="C110" s="171"/>
      <c r="G110" s="610"/>
    </row>
    <row r="111" spans="2:7" ht="18.75" customHeight="1">
      <c r="B111" s="88"/>
      <c r="C111" s="171"/>
      <c r="G111" s="610"/>
    </row>
    <row r="112" spans="2:7" ht="18.75" customHeight="1">
      <c r="B112" s="88"/>
      <c r="C112" s="171"/>
      <c r="G112" s="610"/>
    </row>
    <row r="113" spans="2:7" ht="19.5" customHeight="1">
      <c r="B113" s="88"/>
      <c r="C113" s="171"/>
      <c r="G113" s="610"/>
    </row>
    <row r="114" spans="2:7" ht="17.25">
      <c r="B114" s="88"/>
      <c r="C114" s="171"/>
      <c r="G114" s="610"/>
    </row>
    <row r="115" spans="2:7" ht="17.25">
      <c r="B115" s="88"/>
      <c r="C115" s="171"/>
      <c r="G115" s="610"/>
    </row>
    <row r="116" spans="2:7" ht="17.25">
      <c r="B116" s="88"/>
      <c r="C116" s="171"/>
      <c r="G116" s="610"/>
    </row>
    <row r="117" spans="2:7" ht="17.25">
      <c r="B117" s="88"/>
      <c r="C117" s="171"/>
      <c r="G117" s="610"/>
    </row>
    <row r="118" spans="2:7" ht="17.25">
      <c r="B118" s="88"/>
      <c r="C118" s="171"/>
      <c r="G118" s="610"/>
    </row>
    <row r="119" spans="2:7" ht="17.25">
      <c r="B119" s="88"/>
      <c r="C119" s="171"/>
      <c r="G119" s="610"/>
    </row>
    <row r="120" spans="2:7" ht="17.25">
      <c r="B120" s="88"/>
      <c r="C120" s="171"/>
      <c r="G120" s="610"/>
    </row>
    <row r="121" spans="2:7" ht="17.25">
      <c r="B121" s="88"/>
      <c r="C121" s="171"/>
      <c r="G121" s="610"/>
    </row>
    <row r="122" spans="2:7" ht="17.25">
      <c r="B122" s="88"/>
      <c r="C122" s="171"/>
      <c r="G122" s="610"/>
    </row>
    <row r="123" spans="2:7" ht="17.25">
      <c r="B123" s="88"/>
      <c r="C123" s="171"/>
      <c r="G123" s="610"/>
    </row>
    <row r="124" spans="2:7" ht="17.25">
      <c r="B124" s="88"/>
      <c r="C124" s="171"/>
      <c r="G124" s="610"/>
    </row>
    <row r="125" spans="2:7" ht="17.25">
      <c r="B125" s="88"/>
      <c r="C125" s="171"/>
      <c r="G125" s="610"/>
    </row>
    <row r="126" spans="2:7" ht="17.25">
      <c r="B126" s="88"/>
      <c r="C126" s="171"/>
      <c r="G126" s="610"/>
    </row>
    <row r="127" spans="2:7" ht="17.25">
      <c r="B127" s="88"/>
      <c r="C127" s="171"/>
      <c r="G127" s="610"/>
    </row>
    <row r="128" spans="2:7" ht="17.25">
      <c r="B128" s="88"/>
      <c r="C128" s="171"/>
      <c r="G128" s="610"/>
    </row>
    <row r="129" spans="2:7" ht="17.25">
      <c r="B129" s="88"/>
      <c r="C129" s="171"/>
      <c r="G129" s="610"/>
    </row>
    <row r="130" spans="2:7" ht="17.25">
      <c r="B130" s="88"/>
      <c r="C130" s="171"/>
      <c r="G130" s="610"/>
    </row>
    <row r="131" spans="1:14" s="26" customFormat="1" ht="18.75">
      <c r="A131"/>
      <c r="B131" s="88"/>
      <c r="C131" s="171"/>
      <c r="D131"/>
      <c r="E131"/>
      <c r="F131"/>
      <c r="G131" s="610"/>
      <c r="H131"/>
      <c r="I131"/>
      <c r="J131"/>
      <c r="K131"/>
      <c r="L131"/>
      <c r="M131"/>
      <c r="N131"/>
    </row>
    <row r="132" spans="1:14" s="26" customFormat="1" ht="18.75">
      <c r="A132"/>
      <c r="B132" s="88"/>
      <c r="C132" s="171"/>
      <c r="D132"/>
      <c r="E132"/>
      <c r="F132"/>
      <c r="G132" s="610"/>
      <c r="H132"/>
      <c r="I132"/>
      <c r="J132"/>
      <c r="K132"/>
      <c r="L132"/>
      <c r="M132"/>
      <c r="N132"/>
    </row>
    <row r="133" spans="1:8" s="26" customFormat="1" ht="21">
      <c r="A133" s="25"/>
      <c r="B133" s="185"/>
      <c r="C133" s="172"/>
      <c r="D133" s="105"/>
      <c r="E133" s="25"/>
      <c r="G133" s="25"/>
      <c r="H133"/>
    </row>
    <row r="134" spans="1:8" s="26" customFormat="1" ht="21">
      <c r="A134" s="25"/>
      <c r="B134" s="185"/>
      <c r="C134" s="172"/>
      <c r="D134" s="105"/>
      <c r="E134" s="25"/>
      <c r="G134" s="25"/>
      <c r="H134"/>
    </row>
    <row r="135" spans="1:8" s="26" customFormat="1" ht="21">
      <c r="A135" s="25"/>
      <c r="B135" s="185"/>
      <c r="C135" s="172"/>
      <c r="D135" s="105"/>
      <c r="E135" s="25"/>
      <c r="G135" s="25"/>
      <c r="H135"/>
    </row>
    <row r="136" spans="1:8" s="26" customFormat="1" ht="21">
      <c r="A136" s="25"/>
      <c r="B136" s="185"/>
      <c r="C136" s="172"/>
      <c r="D136" s="105"/>
      <c r="E136" s="25"/>
      <c r="G136" s="25"/>
      <c r="H136"/>
    </row>
    <row r="137" spans="1:8" s="26" customFormat="1" ht="21">
      <c r="A137" s="25"/>
      <c r="B137" s="185"/>
      <c r="C137" s="172"/>
      <c r="D137" s="105"/>
      <c r="E137" s="25"/>
      <c r="G137" s="25"/>
      <c r="H137"/>
    </row>
    <row r="138" spans="1:8" s="26" customFormat="1" ht="21">
      <c r="A138" s="25"/>
      <c r="B138" s="185"/>
      <c r="C138" s="172"/>
      <c r="D138" s="105"/>
      <c r="E138" s="25"/>
      <c r="G138" s="25"/>
      <c r="H138"/>
    </row>
    <row r="139" spans="1:8" s="26" customFormat="1" ht="21">
      <c r="A139" s="25"/>
      <c r="B139" s="185"/>
      <c r="C139" s="172"/>
      <c r="D139" s="105"/>
      <c r="E139" s="25"/>
      <c r="G139" s="25"/>
      <c r="H139"/>
    </row>
    <row r="140" spans="1:8" s="26" customFormat="1" ht="21">
      <c r="A140" s="25"/>
      <c r="B140" s="185"/>
      <c r="C140" s="172"/>
      <c r="D140" s="105"/>
      <c r="E140" s="25"/>
      <c r="G140" s="25"/>
      <c r="H140"/>
    </row>
    <row r="141" spans="1:8" s="26" customFormat="1" ht="21">
      <c r="A141" s="25"/>
      <c r="B141" s="185"/>
      <c r="C141" s="172"/>
      <c r="D141" s="105"/>
      <c r="E141" s="25"/>
      <c r="G141" s="25"/>
      <c r="H141"/>
    </row>
    <row r="142" spans="1:8" s="26" customFormat="1" ht="21">
      <c r="A142" s="25"/>
      <c r="B142" s="185"/>
      <c r="C142" s="172"/>
      <c r="D142" s="105"/>
      <c r="E142" s="25"/>
      <c r="G142" s="25"/>
      <c r="H142"/>
    </row>
    <row r="143" spans="1:8" s="26" customFormat="1" ht="21">
      <c r="A143" s="25"/>
      <c r="B143" s="185"/>
      <c r="C143" s="172"/>
      <c r="D143" s="105"/>
      <c r="E143" s="25"/>
      <c r="G143" s="25"/>
      <c r="H143"/>
    </row>
    <row r="144" spans="1:8" s="26" customFormat="1" ht="21">
      <c r="A144" s="25"/>
      <c r="B144" s="185"/>
      <c r="C144" s="172"/>
      <c r="D144" s="105"/>
      <c r="E144" s="25"/>
      <c r="G144" s="25"/>
      <c r="H144"/>
    </row>
    <row r="145" spans="1:8" s="26" customFormat="1" ht="21">
      <c r="A145" s="25"/>
      <c r="B145" s="185"/>
      <c r="C145" s="172"/>
      <c r="D145" s="105"/>
      <c r="E145" s="25"/>
      <c r="G145" s="25"/>
      <c r="H145"/>
    </row>
    <row r="146" spans="1:8" s="26" customFormat="1" ht="21">
      <c r="A146" s="25"/>
      <c r="B146" s="185"/>
      <c r="C146" s="172"/>
      <c r="D146" s="105"/>
      <c r="E146" s="25"/>
      <c r="G146" s="25"/>
      <c r="H146"/>
    </row>
    <row r="147" spans="1:8" s="26" customFormat="1" ht="21">
      <c r="A147" s="25"/>
      <c r="B147" s="185"/>
      <c r="C147" s="172"/>
      <c r="D147" s="105"/>
      <c r="E147" s="25"/>
      <c r="G147" s="25"/>
      <c r="H147"/>
    </row>
    <row r="148" spans="1:8" s="26" customFormat="1" ht="21">
      <c r="A148" s="25"/>
      <c r="B148" s="185"/>
      <c r="C148" s="172"/>
      <c r="D148" s="105"/>
      <c r="E148" s="25"/>
      <c r="G148" s="25"/>
      <c r="H148"/>
    </row>
    <row r="149" spans="1:8" s="26" customFormat="1" ht="21">
      <c r="A149" s="25"/>
      <c r="B149" s="185"/>
      <c r="C149" s="172"/>
      <c r="D149" s="105"/>
      <c r="E149" s="25"/>
      <c r="G149" s="25"/>
      <c r="H149"/>
    </row>
    <row r="150" spans="1:8" s="26" customFormat="1" ht="21">
      <c r="A150" s="25"/>
      <c r="B150" s="185"/>
      <c r="C150" s="172"/>
      <c r="D150" s="105"/>
      <c r="E150" s="25"/>
      <c r="G150" s="25"/>
      <c r="H150"/>
    </row>
    <row r="151" spans="1:8" s="26" customFormat="1" ht="21">
      <c r="A151" s="25"/>
      <c r="B151" s="185"/>
      <c r="C151" s="172"/>
      <c r="D151" s="105"/>
      <c r="E151" s="25"/>
      <c r="G151" s="25"/>
      <c r="H151"/>
    </row>
    <row r="152" spans="1:8" s="26" customFormat="1" ht="21">
      <c r="A152" s="25"/>
      <c r="B152" s="185"/>
      <c r="C152" s="172"/>
      <c r="D152" s="105"/>
      <c r="E152" s="25"/>
      <c r="G152" s="25"/>
      <c r="H152"/>
    </row>
    <row r="153" spans="1:8" s="26" customFormat="1" ht="21">
      <c r="A153" s="25"/>
      <c r="B153" s="185"/>
      <c r="C153" s="172"/>
      <c r="D153" s="105"/>
      <c r="E153" s="25"/>
      <c r="G153" s="25"/>
      <c r="H153"/>
    </row>
    <row r="154" spans="1:8" s="26" customFormat="1" ht="21">
      <c r="A154" s="25"/>
      <c r="B154" s="185"/>
      <c r="C154" s="172"/>
      <c r="D154" s="105"/>
      <c r="E154" s="25"/>
      <c r="G154" s="25"/>
      <c r="H154"/>
    </row>
    <row r="155" spans="1:8" s="26" customFormat="1" ht="21">
      <c r="A155" s="25"/>
      <c r="B155" s="185"/>
      <c r="C155" s="172"/>
      <c r="D155" s="105"/>
      <c r="E155" s="25"/>
      <c r="G155" s="25"/>
      <c r="H155"/>
    </row>
    <row r="156" spans="1:8" s="26" customFormat="1" ht="21">
      <c r="A156" s="25"/>
      <c r="B156" s="185"/>
      <c r="C156" s="172"/>
      <c r="D156" s="105"/>
      <c r="E156" s="25"/>
      <c r="G156" s="25"/>
      <c r="H156"/>
    </row>
    <row r="157" spans="1:8" s="26" customFormat="1" ht="21">
      <c r="A157" s="25"/>
      <c r="B157" s="185"/>
      <c r="C157" s="172"/>
      <c r="D157" s="105"/>
      <c r="E157" s="25"/>
      <c r="G157" s="25"/>
      <c r="H157"/>
    </row>
    <row r="158" spans="1:8" s="26" customFormat="1" ht="21">
      <c r="A158" s="25"/>
      <c r="B158" s="185"/>
      <c r="C158" s="172"/>
      <c r="D158" s="105"/>
      <c r="E158" s="25"/>
      <c r="G158" s="25"/>
      <c r="H158"/>
    </row>
    <row r="159" spans="1:8" s="26" customFormat="1" ht="21">
      <c r="A159" s="25"/>
      <c r="B159" s="185"/>
      <c r="C159" s="172"/>
      <c r="D159" s="105"/>
      <c r="E159" s="25"/>
      <c r="G159" s="25"/>
      <c r="H159"/>
    </row>
    <row r="160" spans="1:8" s="26" customFormat="1" ht="21">
      <c r="A160" s="25"/>
      <c r="B160" s="185"/>
      <c r="C160" s="172"/>
      <c r="D160" s="105"/>
      <c r="E160" s="25"/>
      <c r="G160" s="25"/>
      <c r="H160"/>
    </row>
    <row r="161" spans="1:8" s="26" customFormat="1" ht="21">
      <c r="A161" s="25"/>
      <c r="B161" s="185"/>
      <c r="C161" s="172"/>
      <c r="D161" s="105"/>
      <c r="E161" s="25"/>
      <c r="G161" s="25"/>
      <c r="H161"/>
    </row>
    <row r="162" spans="1:8" s="26" customFormat="1" ht="21">
      <c r="A162" s="25"/>
      <c r="B162" s="185"/>
      <c r="C162" s="172"/>
      <c r="D162" s="105"/>
      <c r="E162" s="25"/>
      <c r="G162" s="25"/>
      <c r="H162"/>
    </row>
    <row r="163" spans="1:8" s="26" customFormat="1" ht="21">
      <c r="A163" s="25"/>
      <c r="B163" s="185"/>
      <c r="C163" s="172"/>
      <c r="D163" s="105"/>
      <c r="E163" s="25"/>
      <c r="G163" s="25"/>
      <c r="H163"/>
    </row>
    <row r="164" spans="1:8" s="26" customFormat="1" ht="21">
      <c r="A164" s="25"/>
      <c r="B164" s="185"/>
      <c r="C164" s="172"/>
      <c r="D164" s="105"/>
      <c r="E164" s="25"/>
      <c r="G164" s="25"/>
      <c r="H164"/>
    </row>
    <row r="165" spans="1:8" s="26" customFormat="1" ht="21">
      <c r="A165" s="25"/>
      <c r="B165" s="185"/>
      <c r="C165" s="172"/>
      <c r="D165" s="105"/>
      <c r="E165" s="25"/>
      <c r="G165" s="25"/>
      <c r="H165"/>
    </row>
    <row r="166" spans="1:8" s="26" customFormat="1" ht="21">
      <c r="A166" s="25"/>
      <c r="B166" s="185"/>
      <c r="C166" s="172"/>
      <c r="D166" s="105"/>
      <c r="E166" s="25"/>
      <c r="G166" s="25"/>
      <c r="H166"/>
    </row>
    <row r="167" spans="1:8" s="26" customFormat="1" ht="21">
      <c r="A167" s="25"/>
      <c r="B167" s="185"/>
      <c r="C167" s="172"/>
      <c r="D167" s="105"/>
      <c r="E167" s="25"/>
      <c r="G167" s="25"/>
      <c r="H167"/>
    </row>
    <row r="168" spans="1:8" s="26" customFormat="1" ht="21">
      <c r="A168" s="25"/>
      <c r="B168" s="185"/>
      <c r="C168" s="172"/>
      <c r="D168" s="105"/>
      <c r="E168" s="25"/>
      <c r="G168" s="25"/>
      <c r="H168"/>
    </row>
    <row r="169" spans="1:8" s="26" customFormat="1" ht="21">
      <c r="A169" s="25"/>
      <c r="B169" s="185"/>
      <c r="C169" s="172"/>
      <c r="D169" s="105"/>
      <c r="E169" s="25"/>
      <c r="G169" s="25"/>
      <c r="H169"/>
    </row>
    <row r="170" spans="1:8" s="26" customFormat="1" ht="21">
      <c r="A170" s="25"/>
      <c r="B170" s="185"/>
      <c r="C170" s="172"/>
      <c r="D170" s="105"/>
      <c r="E170" s="25"/>
      <c r="G170" s="25"/>
      <c r="H170"/>
    </row>
    <row r="171" spans="1:8" s="26" customFormat="1" ht="21">
      <c r="A171" s="25"/>
      <c r="B171" s="185"/>
      <c r="C171" s="172"/>
      <c r="D171" s="105"/>
      <c r="E171" s="25"/>
      <c r="G171" s="25"/>
      <c r="H171"/>
    </row>
    <row r="172" spans="1:8" s="26" customFormat="1" ht="21">
      <c r="A172" s="25"/>
      <c r="B172" s="185"/>
      <c r="C172" s="172"/>
      <c r="D172" s="105"/>
      <c r="E172" s="25"/>
      <c r="G172" s="25"/>
      <c r="H172"/>
    </row>
    <row r="173" spans="1:8" s="26" customFormat="1" ht="21">
      <c r="A173" s="25"/>
      <c r="B173" s="185"/>
      <c r="C173" s="172"/>
      <c r="D173" s="105"/>
      <c r="E173" s="25"/>
      <c r="G173" s="25"/>
      <c r="H173"/>
    </row>
    <row r="174" spans="1:8" s="26" customFormat="1" ht="21">
      <c r="A174" s="25"/>
      <c r="B174" s="185"/>
      <c r="C174" s="172"/>
      <c r="D174" s="105"/>
      <c r="E174" s="25"/>
      <c r="G174" s="25"/>
      <c r="H174"/>
    </row>
    <row r="175" spans="1:8" s="26" customFormat="1" ht="21">
      <c r="A175" s="25"/>
      <c r="B175" s="185"/>
      <c r="C175" s="172"/>
      <c r="D175" s="105"/>
      <c r="E175" s="25"/>
      <c r="G175" s="25"/>
      <c r="H175"/>
    </row>
    <row r="176" spans="1:8" s="26" customFormat="1" ht="21">
      <c r="A176" s="25"/>
      <c r="B176" s="185"/>
      <c r="C176" s="172"/>
      <c r="D176" s="105"/>
      <c r="E176" s="25"/>
      <c r="G176" s="25"/>
      <c r="H176"/>
    </row>
    <row r="177" spans="1:8" s="26" customFormat="1" ht="21">
      <c r="A177" s="25"/>
      <c r="B177" s="185"/>
      <c r="C177" s="172"/>
      <c r="D177" s="105"/>
      <c r="E177" s="25"/>
      <c r="G177" s="25"/>
      <c r="H177"/>
    </row>
    <row r="178" spans="1:8" s="26" customFormat="1" ht="21">
      <c r="A178" s="25"/>
      <c r="B178" s="185"/>
      <c r="C178" s="172"/>
      <c r="D178" s="105"/>
      <c r="E178" s="25"/>
      <c r="G178" s="25"/>
      <c r="H178"/>
    </row>
    <row r="179" spans="1:8" s="26" customFormat="1" ht="21">
      <c r="A179" s="25"/>
      <c r="B179" s="185"/>
      <c r="C179" s="172"/>
      <c r="D179" s="105"/>
      <c r="E179" s="25"/>
      <c r="G179" s="25"/>
      <c r="H179"/>
    </row>
    <row r="180" spans="1:8" s="26" customFormat="1" ht="21">
      <c r="A180" s="25"/>
      <c r="B180" s="185"/>
      <c r="C180" s="172"/>
      <c r="D180" s="105"/>
      <c r="E180" s="25"/>
      <c r="G180" s="25"/>
      <c r="H180"/>
    </row>
    <row r="181" spans="1:8" s="26" customFormat="1" ht="21">
      <c r="A181" s="25"/>
      <c r="B181" s="185"/>
      <c r="C181" s="172"/>
      <c r="D181" s="105"/>
      <c r="E181" s="25"/>
      <c r="G181" s="25"/>
      <c r="H181"/>
    </row>
    <row r="182" spans="1:8" s="26" customFormat="1" ht="21">
      <c r="A182" s="25"/>
      <c r="B182" s="185"/>
      <c r="C182" s="172"/>
      <c r="D182" s="105"/>
      <c r="E182" s="25"/>
      <c r="G182" s="25"/>
      <c r="H182"/>
    </row>
    <row r="183" spans="1:8" s="26" customFormat="1" ht="21">
      <c r="A183" s="25"/>
      <c r="B183" s="185"/>
      <c r="C183" s="172"/>
      <c r="D183" s="105"/>
      <c r="E183" s="25"/>
      <c r="G183" s="25"/>
      <c r="H183"/>
    </row>
    <row r="184" spans="1:8" s="26" customFormat="1" ht="21">
      <c r="A184" s="25"/>
      <c r="B184" s="185"/>
      <c r="C184" s="172"/>
      <c r="D184" s="105"/>
      <c r="E184" s="25"/>
      <c r="G184" s="25"/>
      <c r="H184"/>
    </row>
    <row r="185" spans="1:8" s="26" customFormat="1" ht="21">
      <c r="A185" s="25"/>
      <c r="B185" s="185"/>
      <c r="C185" s="172"/>
      <c r="D185" s="105"/>
      <c r="E185" s="25"/>
      <c r="G185" s="25"/>
      <c r="H185"/>
    </row>
    <row r="186" spans="1:8" s="26" customFormat="1" ht="21">
      <c r="A186" s="25"/>
      <c r="B186" s="185"/>
      <c r="C186" s="172"/>
      <c r="D186" s="105"/>
      <c r="E186" s="25"/>
      <c r="G186" s="25"/>
      <c r="H186"/>
    </row>
    <row r="187" spans="1:8" s="26" customFormat="1" ht="21">
      <c r="A187" s="25"/>
      <c r="B187" s="185"/>
      <c r="C187" s="172"/>
      <c r="D187" s="105"/>
      <c r="E187" s="25"/>
      <c r="G187" s="25"/>
      <c r="H187"/>
    </row>
    <row r="188" spans="1:8" s="26" customFormat="1" ht="21">
      <c r="A188" s="25"/>
      <c r="B188" s="185"/>
      <c r="C188" s="172"/>
      <c r="D188" s="105"/>
      <c r="E188" s="25"/>
      <c r="G188" s="25"/>
      <c r="H188"/>
    </row>
    <row r="189" spans="1:8" s="26" customFormat="1" ht="21">
      <c r="A189" s="25"/>
      <c r="B189" s="185"/>
      <c r="C189" s="172"/>
      <c r="D189" s="105"/>
      <c r="E189" s="25"/>
      <c r="G189" s="25"/>
      <c r="H189"/>
    </row>
    <row r="190" spans="1:8" s="26" customFormat="1" ht="21">
      <c r="A190" s="25"/>
      <c r="B190" s="185"/>
      <c r="C190" s="172"/>
      <c r="D190" s="105"/>
      <c r="E190" s="25"/>
      <c r="G190" s="25"/>
      <c r="H190"/>
    </row>
    <row r="191" spans="1:8" s="26" customFormat="1" ht="21">
      <c r="A191" s="25"/>
      <c r="B191" s="185"/>
      <c r="C191" s="172"/>
      <c r="D191" s="105"/>
      <c r="E191" s="25"/>
      <c r="G191" s="25"/>
      <c r="H191"/>
    </row>
    <row r="192" spans="1:8" s="26" customFormat="1" ht="21">
      <c r="A192" s="25"/>
      <c r="B192" s="185"/>
      <c r="C192" s="172"/>
      <c r="D192" s="105"/>
      <c r="E192" s="25"/>
      <c r="G192" s="25"/>
      <c r="H192"/>
    </row>
    <row r="193" spans="1:8" s="26" customFormat="1" ht="21">
      <c r="A193" s="25"/>
      <c r="B193" s="185"/>
      <c r="C193" s="172"/>
      <c r="D193" s="105"/>
      <c r="E193" s="25"/>
      <c r="G193" s="25"/>
      <c r="H193"/>
    </row>
    <row r="194" spans="1:8" s="26" customFormat="1" ht="21">
      <c r="A194" s="25"/>
      <c r="B194" s="185"/>
      <c r="C194" s="172"/>
      <c r="D194" s="105"/>
      <c r="E194" s="25"/>
      <c r="G194" s="25"/>
      <c r="H194"/>
    </row>
    <row r="195" spans="1:8" s="26" customFormat="1" ht="21">
      <c r="A195" s="25"/>
      <c r="B195" s="185"/>
      <c r="C195" s="172"/>
      <c r="D195" s="105"/>
      <c r="E195" s="25"/>
      <c r="G195" s="25"/>
      <c r="H195"/>
    </row>
    <row r="196" spans="1:8" s="26" customFormat="1" ht="21">
      <c r="A196" s="25"/>
      <c r="B196" s="185"/>
      <c r="C196" s="172"/>
      <c r="D196" s="105"/>
      <c r="E196" s="25"/>
      <c r="G196" s="25"/>
      <c r="H196"/>
    </row>
    <row r="197" spans="1:8" s="26" customFormat="1" ht="21">
      <c r="A197" s="25"/>
      <c r="B197" s="185"/>
      <c r="C197" s="172"/>
      <c r="D197" s="105"/>
      <c r="E197" s="25"/>
      <c r="G197" s="25"/>
      <c r="H197"/>
    </row>
    <row r="198" spans="1:8" s="26" customFormat="1" ht="21">
      <c r="A198" s="25"/>
      <c r="B198" s="185"/>
      <c r="C198" s="172"/>
      <c r="D198" s="105"/>
      <c r="E198" s="25"/>
      <c r="G198" s="25"/>
      <c r="H198"/>
    </row>
    <row r="199" spans="1:8" s="26" customFormat="1" ht="21">
      <c r="A199" s="25"/>
      <c r="B199" s="185"/>
      <c r="C199" s="172"/>
      <c r="D199" s="105"/>
      <c r="E199" s="25"/>
      <c r="G199" s="25"/>
      <c r="H199"/>
    </row>
    <row r="200" spans="1:8" s="26" customFormat="1" ht="21">
      <c r="A200" s="25"/>
      <c r="B200" s="185"/>
      <c r="C200" s="172"/>
      <c r="D200" s="105"/>
      <c r="E200" s="25"/>
      <c r="G200" s="25"/>
      <c r="H200"/>
    </row>
    <row r="201" spans="1:8" s="26" customFormat="1" ht="21">
      <c r="A201" s="25"/>
      <c r="B201" s="185"/>
      <c r="C201" s="172"/>
      <c r="D201" s="105"/>
      <c r="E201" s="25"/>
      <c r="G201" s="25"/>
      <c r="H201"/>
    </row>
    <row r="202" spans="1:8" s="26" customFormat="1" ht="21">
      <c r="A202" s="25"/>
      <c r="B202" s="185"/>
      <c r="C202" s="172"/>
      <c r="D202" s="105"/>
      <c r="E202" s="25"/>
      <c r="G202" s="25"/>
      <c r="H202"/>
    </row>
    <row r="203" spans="1:8" s="26" customFormat="1" ht="21">
      <c r="A203" s="25"/>
      <c r="B203" s="185"/>
      <c r="C203" s="172"/>
      <c r="D203" s="105"/>
      <c r="E203" s="25"/>
      <c r="G203" s="25"/>
      <c r="H203"/>
    </row>
    <row r="204" spans="1:8" s="26" customFormat="1" ht="21">
      <c r="A204" s="25"/>
      <c r="B204" s="185"/>
      <c r="C204" s="172"/>
      <c r="D204" s="105"/>
      <c r="E204" s="25"/>
      <c r="G204" s="25"/>
      <c r="H204"/>
    </row>
    <row r="205" spans="1:8" s="26" customFormat="1" ht="21">
      <c r="A205" s="25"/>
      <c r="B205" s="185"/>
      <c r="C205" s="172"/>
      <c r="D205" s="105"/>
      <c r="E205" s="25"/>
      <c r="G205" s="25"/>
      <c r="H205"/>
    </row>
    <row r="206" spans="1:8" s="26" customFormat="1" ht="21">
      <c r="A206" s="25"/>
      <c r="B206" s="185"/>
      <c r="C206" s="172"/>
      <c r="D206" s="105"/>
      <c r="E206" s="25"/>
      <c r="G206" s="25"/>
      <c r="H206"/>
    </row>
    <row r="207" spans="1:8" s="26" customFormat="1" ht="21.75">
      <c r="A207" s="106"/>
      <c r="B207" s="186"/>
      <c r="C207" s="173"/>
      <c r="D207" s="107"/>
      <c r="E207" s="106"/>
      <c r="F207" s="6"/>
      <c r="G207" s="25"/>
      <c r="H207"/>
    </row>
    <row r="208" spans="1:8" s="26" customFormat="1" ht="21.75">
      <c r="A208" s="106"/>
      <c r="B208" s="186"/>
      <c r="C208" s="173"/>
      <c r="D208" s="107"/>
      <c r="E208" s="106"/>
      <c r="F208" s="6"/>
      <c r="G208" s="25"/>
      <c r="H208"/>
    </row>
    <row r="209" spans="1:8" s="26" customFormat="1" ht="21.75">
      <c r="A209" s="106"/>
      <c r="B209" s="186"/>
      <c r="C209" s="173"/>
      <c r="D209" s="107"/>
      <c r="E209" s="106"/>
      <c r="F209" s="6"/>
      <c r="G209" s="25"/>
      <c r="H209"/>
    </row>
    <row r="210" spans="1:8" s="26" customFormat="1" ht="21.75">
      <c r="A210" s="106"/>
      <c r="B210" s="186"/>
      <c r="C210" s="173"/>
      <c r="D210" s="107"/>
      <c r="E210" s="106"/>
      <c r="F210" s="6"/>
      <c r="G210" s="25"/>
      <c r="H210"/>
    </row>
    <row r="211" spans="1:8" s="26" customFormat="1" ht="21.75">
      <c r="A211" s="106"/>
      <c r="B211" s="186"/>
      <c r="C211" s="173"/>
      <c r="D211" s="107"/>
      <c r="E211" s="106"/>
      <c r="F211" s="6"/>
      <c r="G211" s="25"/>
      <c r="H211"/>
    </row>
    <row r="212" spans="1:8" s="26" customFormat="1" ht="21.75">
      <c r="A212" s="106"/>
      <c r="B212" s="186"/>
      <c r="C212" s="173"/>
      <c r="D212" s="107"/>
      <c r="E212" s="106"/>
      <c r="F212" s="6"/>
      <c r="G212" s="25"/>
      <c r="H212"/>
    </row>
    <row r="213" spans="1:8" s="26" customFormat="1" ht="21.75">
      <c r="A213" s="106"/>
      <c r="B213" s="186"/>
      <c r="C213" s="173"/>
      <c r="D213" s="107"/>
      <c r="E213" s="106"/>
      <c r="F213" s="6"/>
      <c r="G213" s="25"/>
      <c r="H213"/>
    </row>
    <row r="214" spans="1:8" s="26" customFormat="1" ht="21.75">
      <c r="A214" s="106"/>
      <c r="B214" s="186"/>
      <c r="C214" s="173"/>
      <c r="D214" s="107"/>
      <c r="E214" s="106"/>
      <c r="F214" s="6"/>
      <c r="G214" s="25"/>
      <c r="H214"/>
    </row>
    <row r="215" spans="1:8" s="26" customFormat="1" ht="21.75">
      <c r="A215" s="106"/>
      <c r="B215" s="186"/>
      <c r="C215" s="173"/>
      <c r="D215" s="107"/>
      <c r="E215" s="106"/>
      <c r="F215" s="6"/>
      <c r="G215" s="25"/>
      <c r="H215"/>
    </row>
    <row r="216" spans="1:8" s="26" customFormat="1" ht="21.75">
      <c r="A216" s="106"/>
      <c r="B216" s="186"/>
      <c r="C216" s="173"/>
      <c r="D216" s="107"/>
      <c r="E216" s="106"/>
      <c r="F216" s="6"/>
      <c r="G216" s="25"/>
      <c r="H216"/>
    </row>
    <row r="217" spans="1:8" s="26" customFormat="1" ht="21.75">
      <c r="A217" s="106"/>
      <c r="B217" s="186"/>
      <c r="C217" s="173"/>
      <c r="D217" s="107"/>
      <c r="E217" s="106"/>
      <c r="F217" s="6"/>
      <c r="G217" s="25"/>
      <c r="H217"/>
    </row>
    <row r="218" spans="1:8" s="26" customFormat="1" ht="21.75">
      <c r="A218" s="106"/>
      <c r="B218" s="186"/>
      <c r="C218" s="173"/>
      <c r="D218" s="107"/>
      <c r="E218" s="106"/>
      <c r="F218" s="6"/>
      <c r="G218" s="25"/>
      <c r="H218"/>
    </row>
    <row r="219" spans="1:8" s="26" customFormat="1" ht="21.75">
      <c r="A219" s="106"/>
      <c r="B219" s="186"/>
      <c r="C219" s="173"/>
      <c r="D219" s="107"/>
      <c r="E219" s="106"/>
      <c r="F219" s="6"/>
      <c r="G219" s="25"/>
      <c r="H219"/>
    </row>
    <row r="220" spans="1:8" s="26" customFormat="1" ht="21.75">
      <c r="A220" s="106"/>
      <c r="B220" s="186"/>
      <c r="C220" s="173"/>
      <c r="D220" s="107"/>
      <c r="E220" s="106"/>
      <c r="F220" s="6"/>
      <c r="G220" s="25"/>
      <c r="H220"/>
    </row>
    <row r="221" spans="1:8" s="26" customFormat="1" ht="21.75">
      <c r="A221" s="106"/>
      <c r="B221" s="186"/>
      <c r="C221" s="173"/>
      <c r="D221" s="107"/>
      <c r="E221" s="106"/>
      <c r="F221" s="6"/>
      <c r="G221" s="25"/>
      <c r="H221"/>
    </row>
    <row r="222" spans="1:8" s="26" customFormat="1" ht="21.75">
      <c r="A222" s="106"/>
      <c r="B222" s="186"/>
      <c r="C222" s="173"/>
      <c r="D222" s="107"/>
      <c r="E222" s="106"/>
      <c r="F222" s="6"/>
      <c r="G222" s="25"/>
      <c r="H222"/>
    </row>
    <row r="223" spans="1:8" s="26" customFormat="1" ht="21.75">
      <c r="A223" s="106"/>
      <c r="B223" s="186"/>
      <c r="C223" s="173"/>
      <c r="D223" s="107"/>
      <c r="E223" s="106"/>
      <c r="F223" s="6"/>
      <c r="G223" s="25"/>
      <c r="H223"/>
    </row>
    <row r="224" spans="1:8" s="26" customFormat="1" ht="21.75">
      <c r="A224" s="106"/>
      <c r="B224" s="186"/>
      <c r="C224" s="173"/>
      <c r="D224" s="107"/>
      <c r="E224" s="106"/>
      <c r="F224" s="6"/>
      <c r="G224" s="25"/>
      <c r="H224"/>
    </row>
    <row r="225" spans="1:8" s="26" customFormat="1" ht="21.75">
      <c r="A225" s="106"/>
      <c r="B225" s="186"/>
      <c r="C225" s="173"/>
      <c r="D225" s="107"/>
      <c r="E225" s="106"/>
      <c r="F225" s="6"/>
      <c r="G225" s="25"/>
      <c r="H225"/>
    </row>
    <row r="226" spans="1:8" s="26" customFormat="1" ht="21.75">
      <c r="A226" s="106"/>
      <c r="B226" s="186"/>
      <c r="C226" s="173"/>
      <c r="D226" s="107"/>
      <c r="E226" s="106"/>
      <c r="F226" s="6"/>
      <c r="G226" s="25"/>
      <c r="H226"/>
    </row>
    <row r="227" spans="1:8" s="26" customFormat="1" ht="21.75">
      <c r="A227" s="106"/>
      <c r="B227" s="186"/>
      <c r="C227" s="173"/>
      <c r="D227" s="107"/>
      <c r="E227" s="106"/>
      <c r="F227" s="6"/>
      <c r="G227" s="25"/>
      <c r="H227"/>
    </row>
    <row r="228" spans="1:8" s="26" customFormat="1" ht="21.75">
      <c r="A228" s="106"/>
      <c r="B228" s="186"/>
      <c r="C228" s="173"/>
      <c r="D228" s="107"/>
      <c r="E228" s="106"/>
      <c r="F228" s="6"/>
      <c r="G228" s="25"/>
      <c r="H228"/>
    </row>
    <row r="229" spans="1:8" s="26" customFormat="1" ht="21.75">
      <c r="A229" s="106"/>
      <c r="B229" s="186"/>
      <c r="C229" s="173"/>
      <c r="D229" s="107"/>
      <c r="E229" s="106"/>
      <c r="F229" s="6"/>
      <c r="G229" s="25"/>
      <c r="H229"/>
    </row>
    <row r="230" spans="1:8" s="26" customFormat="1" ht="21.75">
      <c r="A230" s="106"/>
      <c r="B230" s="186"/>
      <c r="C230" s="173"/>
      <c r="D230" s="107"/>
      <c r="E230" s="106"/>
      <c r="F230" s="6"/>
      <c r="G230" s="25"/>
      <c r="H230"/>
    </row>
    <row r="231" spans="1:8" s="26" customFormat="1" ht="21.75">
      <c r="A231" s="106"/>
      <c r="B231" s="186"/>
      <c r="C231" s="173"/>
      <c r="D231" s="107"/>
      <c r="E231" s="106"/>
      <c r="F231" s="6"/>
      <c r="G231" s="25"/>
      <c r="H231"/>
    </row>
    <row r="232" spans="1:8" s="26" customFormat="1" ht="21.75">
      <c r="A232" s="106"/>
      <c r="B232" s="186"/>
      <c r="C232" s="173"/>
      <c r="D232" s="107"/>
      <c r="E232" s="106"/>
      <c r="F232" s="6"/>
      <c r="G232" s="25"/>
      <c r="H232"/>
    </row>
    <row r="233" spans="1:8" s="26" customFormat="1" ht="21.75">
      <c r="A233" s="106"/>
      <c r="B233" s="186"/>
      <c r="C233" s="173"/>
      <c r="D233" s="107"/>
      <c r="E233" s="106"/>
      <c r="F233" s="6"/>
      <c r="G233" s="25"/>
      <c r="H233"/>
    </row>
    <row r="234" spans="1:8" s="26" customFormat="1" ht="21.75">
      <c r="A234" s="106"/>
      <c r="B234" s="186"/>
      <c r="C234" s="173"/>
      <c r="D234" s="107"/>
      <c r="E234" s="106"/>
      <c r="F234" s="6"/>
      <c r="G234" s="25"/>
      <c r="H234"/>
    </row>
    <row r="235" spans="1:8" s="26" customFormat="1" ht="21.75">
      <c r="A235" s="106"/>
      <c r="B235" s="186"/>
      <c r="C235" s="173"/>
      <c r="D235" s="107"/>
      <c r="E235" s="106"/>
      <c r="F235" s="6"/>
      <c r="G235" s="25"/>
      <c r="H235"/>
    </row>
    <row r="236" spans="1:8" s="26" customFormat="1" ht="21.75">
      <c r="A236" s="106"/>
      <c r="B236" s="186"/>
      <c r="C236" s="173"/>
      <c r="D236" s="107"/>
      <c r="E236" s="106"/>
      <c r="F236" s="6"/>
      <c r="G236" s="25"/>
      <c r="H236"/>
    </row>
    <row r="237" spans="1:8" s="26" customFormat="1" ht="21.75">
      <c r="A237" s="106"/>
      <c r="B237" s="186"/>
      <c r="C237" s="173"/>
      <c r="D237" s="107"/>
      <c r="E237" s="106"/>
      <c r="F237" s="6"/>
      <c r="G237" s="25"/>
      <c r="H237"/>
    </row>
    <row r="238" spans="1:8" s="26" customFormat="1" ht="21.75">
      <c r="A238" s="106"/>
      <c r="B238" s="186"/>
      <c r="C238" s="173"/>
      <c r="D238" s="107"/>
      <c r="E238" s="106"/>
      <c r="F238" s="6"/>
      <c r="G238" s="25"/>
      <c r="H238"/>
    </row>
    <row r="239" spans="1:8" s="26" customFormat="1" ht="21.75">
      <c r="A239" s="106"/>
      <c r="B239" s="186"/>
      <c r="C239" s="173"/>
      <c r="D239" s="107"/>
      <c r="E239" s="106"/>
      <c r="F239" s="6"/>
      <c r="G239" s="25"/>
      <c r="H239"/>
    </row>
    <row r="240" spans="1:8" s="26" customFormat="1" ht="21.75">
      <c r="A240" s="106"/>
      <c r="B240" s="186"/>
      <c r="C240" s="173"/>
      <c r="D240" s="107"/>
      <c r="E240" s="106"/>
      <c r="F240" s="6"/>
      <c r="G240" s="25"/>
      <c r="H240"/>
    </row>
    <row r="241" spans="1:8" s="26" customFormat="1" ht="21.75">
      <c r="A241" s="106"/>
      <c r="B241" s="186"/>
      <c r="C241" s="173"/>
      <c r="D241" s="107"/>
      <c r="E241" s="106"/>
      <c r="F241" s="6"/>
      <c r="G241" s="25"/>
      <c r="H241"/>
    </row>
    <row r="242" spans="1:8" s="26" customFormat="1" ht="21.75">
      <c r="A242" s="106"/>
      <c r="B242" s="186"/>
      <c r="C242" s="173"/>
      <c r="D242" s="107"/>
      <c r="E242" s="106"/>
      <c r="F242" s="6"/>
      <c r="G242" s="25"/>
      <c r="H242"/>
    </row>
    <row r="243" spans="1:8" s="26" customFormat="1" ht="21.75">
      <c r="A243" s="106"/>
      <c r="B243" s="186"/>
      <c r="C243" s="173"/>
      <c r="D243" s="107"/>
      <c r="E243" s="106"/>
      <c r="F243" s="6"/>
      <c r="G243" s="25"/>
      <c r="H243"/>
    </row>
    <row r="244" spans="1:8" s="26" customFormat="1" ht="21.75">
      <c r="A244" s="106"/>
      <c r="B244" s="186"/>
      <c r="C244" s="173"/>
      <c r="D244" s="107"/>
      <c r="E244" s="106"/>
      <c r="F244" s="6"/>
      <c r="G244" s="25"/>
      <c r="H244"/>
    </row>
    <row r="245" spans="1:8" s="26" customFormat="1" ht="21.75">
      <c r="A245" s="106"/>
      <c r="B245" s="186"/>
      <c r="C245" s="173"/>
      <c r="D245" s="107"/>
      <c r="E245" s="106"/>
      <c r="F245" s="6"/>
      <c r="G245" s="25"/>
      <c r="H245"/>
    </row>
    <row r="246" spans="1:8" s="26" customFormat="1" ht="21.75">
      <c r="A246" s="106"/>
      <c r="B246" s="186"/>
      <c r="C246" s="173"/>
      <c r="D246" s="107"/>
      <c r="E246" s="106"/>
      <c r="F246" s="6"/>
      <c r="G246" s="25"/>
      <c r="H246"/>
    </row>
    <row r="247" spans="1:8" s="26" customFormat="1" ht="21.75">
      <c r="A247" s="106"/>
      <c r="B247" s="186"/>
      <c r="C247" s="173"/>
      <c r="D247" s="107"/>
      <c r="E247" s="106"/>
      <c r="F247" s="6"/>
      <c r="G247" s="25"/>
      <c r="H247"/>
    </row>
    <row r="248" spans="1:8" s="26" customFormat="1" ht="21.75">
      <c r="A248" s="106"/>
      <c r="B248" s="186"/>
      <c r="C248" s="173"/>
      <c r="D248" s="107"/>
      <c r="E248" s="106"/>
      <c r="F248" s="6"/>
      <c r="G248" s="25"/>
      <c r="H248"/>
    </row>
    <row r="249" spans="1:8" s="26" customFormat="1" ht="21.75">
      <c r="A249" s="106"/>
      <c r="B249" s="186"/>
      <c r="C249" s="173"/>
      <c r="D249" s="107"/>
      <c r="E249" s="106"/>
      <c r="F249" s="6"/>
      <c r="G249" s="25"/>
      <c r="H249"/>
    </row>
    <row r="250" spans="1:8" s="26" customFormat="1" ht="21.75">
      <c r="A250" s="106"/>
      <c r="B250" s="186"/>
      <c r="C250" s="173"/>
      <c r="D250" s="107"/>
      <c r="E250" s="106"/>
      <c r="F250" s="6"/>
      <c r="G250" s="25"/>
      <c r="H250"/>
    </row>
    <row r="251" spans="1:8" s="26" customFormat="1" ht="21.75">
      <c r="A251" s="106"/>
      <c r="B251" s="186"/>
      <c r="C251" s="173"/>
      <c r="D251" s="107"/>
      <c r="E251" s="106"/>
      <c r="F251" s="6"/>
      <c r="G251" s="25"/>
      <c r="H251"/>
    </row>
    <row r="252" spans="1:8" s="26" customFormat="1" ht="21.75">
      <c r="A252" s="106"/>
      <c r="B252" s="186"/>
      <c r="C252" s="173"/>
      <c r="D252" s="107"/>
      <c r="E252" s="106"/>
      <c r="F252" s="6"/>
      <c r="G252" s="25"/>
      <c r="H252"/>
    </row>
    <row r="253" spans="1:8" s="26" customFormat="1" ht="21.75">
      <c r="A253" s="106"/>
      <c r="B253" s="186"/>
      <c r="C253" s="173"/>
      <c r="D253" s="107"/>
      <c r="E253" s="106"/>
      <c r="F253" s="6"/>
      <c r="G253" s="25"/>
      <c r="H253"/>
    </row>
    <row r="254" spans="1:8" s="26" customFormat="1" ht="21.75">
      <c r="A254" s="106"/>
      <c r="B254" s="186"/>
      <c r="C254" s="173"/>
      <c r="D254" s="107"/>
      <c r="E254" s="106"/>
      <c r="F254" s="6"/>
      <c r="G254" s="25"/>
      <c r="H254"/>
    </row>
    <row r="255" spans="1:8" s="26" customFormat="1" ht="21.75">
      <c r="A255" s="106"/>
      <c r="B255" s="186"/>
      <c r="C255" s="173"/>
      <c r="D255" s="107"/>
      <c r="E255" s="106"/>
      <c r="F255" s="6"/>
      <c r="G255" s="25"/>
      <c r="H255"/>
    </row>
    <row r="256" spans="1:8" s="26" customFormat="1" ht="21.75">
      <c r="A256" s="106"/>
      <c r="B256" s="186"/>
      <c r="C256" s="173"/>
      <c r="D256" s="107"/>
      <c r="E256" s="106"/>
      <c r="F256" s="6"/>
      <c r="G256" s="25"/>
      <c r="H256"/>
    </row>
    <row r="257" spans="1:8" s="26" customFormat="1" ht="21.75">
      <c r="A257" s="106"/>
      <c r="B257" s="186"/>
      <c r="C257" s="173"/>
      <c r="D257" s="107"/>
      <c r="E257" s="106"/>
      <c r="F257" s="6"/>
      <c r="G257" s="25"/>
      <c r="H257"/>
    </row>
    <row r="258" spans="1:8" s="26" customFormat="1" ht="21.75">
      <c r="A258" s="106"/>
      <c r="B258" s="186"/>
      <c r="C258" s="173"/>
      <c r="D258" s="107"/>
      <c r="E258" s="106"/>
      <c r="F258" s="6"/>
      <c r="G258" s="25"/>
      <c r="H258"/>
    </row>
    <row r="259" spans="1:8" s="26" customFormat="1" ht="21.75">
      <c r="A259" s="106"/>
      <c r="B259" s="186"/>
      <c r="C259" s="173"/>
      <c r="D259" s="107"/>
      <c r="E259" s="106"/>
      <c r="F259" s="6"/>
      <c r="G259" s="25"/>
      <c r="H259"/>
    </row>
    <row r="260" spans="1:8" s="26" customFormat="1" ht="21.75">
      <c r="A260" s="106"/>
      <c r="B260" s="186"/>
      <c r="C260" s="173"/>
      <c r="D260" s="107"/>
      <c r="E260" s="106"/>
      <c r="F260" s="6"/>
      <c r="G260" s="25"/>
      <c r="H260"/>
    </row>
    <row r="261" spans="1:8" s="26" customFormat="1" ht="21.75">
      <c r="A261" s="106"/>
      <c r="B261" s="186"/>
      <c r="C261" s="173"/>
      <c r="D261" s="107"/>
      <c r="E261" s="106"/>
      <c r="F261" s="6"/>
      <c r="G261" s="25"/>
      <c r="H261"/>
    </row>
    <row r="262" spans="7:14" ht="21.75">
      <c r="G262" s="25"/>
      <c r="I262" s="26"/>
      <c r="J262" s="26"/>
      <c r="K262" s="26"/>
      <c r="L262" s="26"/>
      <c r="M262" s="26"/>
      <c r="N262" s="26"/>
    </row>
    <row r="263" spans="7:14" ht="21.75">
      <c r="G263" s="25"/>
      <c r="I263" s="26"/>
      <c r="J263" s="26"/>
      <c r="K263" s="26"/>
      <c r="L263" s="26"/>
      <c r="M263" s="26"/>
      <c r="N263" s="26"/>
    </row>
    <row r="264" ht="21.75">
      <c r="G264" s="106"/>
    </row>
  </sheetData>
  <sheetProtection/>
  <mergeCells count="6">
    <mergeCell ref="M2:N2"/>
    <mergeCell ref="K2:K3"/>
    <mergeCell ref="L2:L3"/>
    <mergeCell ref="E2:F2"/>
    <mergeCell ref="G2:H2"/>
    <mergeCell ref="I2:J2"/>
  </mergeCells>
  <printOptions/>
  <pageMargins left="0" right="0" top="0.2362204724409449" bottom="0.2362204724409449" header="0.5118110236220472" footer="0.1968503937007874"/>
  <pageSetup horizontalDpi="600" verticalDpi="600" orientation="landscape" paperSize="9" scale="99" r:id="rId1"/>
  <rowBreaks count="2" manualBreakCount="2">
    <brk id="11" max="13" man="1"/>
    <brk id="35" max="13" man="1"/>
  </rowBreaks>
</worksheet>
</file>

<file path=xl/worksheets/sheet13.xml><?xml version="1.0" encoding="utf-8"?>
<worksheet xmlns="http://schemas.openxmlformats.org/spreadsheetml/2006/main" xmlns:r="http://schemas.openxmlformats.org/officeDocument/2006/relationships">
  <sheetPr>
    <tabColor indexed="14"/>
  </sheetPr>
  <dimension ref="A1:N238"/>
  <sheetViews>
    <sheetView zoomScalePageLayoutView="0" workbookViewId="0" topLeftCell="A1">
      <pane xSplit="4" ySplit="3" topLeftCell="E4" activePane="bottomRight" state="frozen"/>
      <selection pane="topLeft" activeCell="L32" sqref="L32"/>
      <selection pane="topRight" activeCell="L32" sqref="L32"/>
      <selection pane="bottomLeft" activeCell="L32" sqref="L32"/>
      <selection pane="bottomRight" activeCell="H16" sqref="H16"/>
    </sheetView>
  </sheetViews>
  <sheetFormatPr defaultColWidth="9.140625" defaultRowHeight="12.75"/>
  <cols>
    <col min="1" max="1" width="10.57421875" style="106" customWidth="1"/>
    <col min="2" max="2" width="3.00390625" style="186" bestFit="1" customWidth="1"/>
    <col min="3" max="3" width="12.28125" style="186" bestFit="1" customWidth="1"/>
    <col min="4" max="4" width="41.7109375" style="173" customWidth="1"/>
    <col min="5" max="5" width="4.8515625" style="106" customWidth="1"/>
    <col min="6" max="6" width="8.28125" style="643" customWidth="1"/>
    <col min="7" max="7" width="5.00390625" style="106" bestFit="1" customWidth="1"/>
    <col min="8" max="8" width="8.28125" style="643" bestFit="1" customWidth="1"/>
    <col min="9" max="9" width="4.8515625" style="106" customWidth="1"/>
    <col min="10" max="10" width="6.57421875" style="612" bestFit="1" customWidth="1"/>
    <col min="11" max="11" width="8.00390625" style="643" customWidth="1"/>
    <col min="12" max="12" width="6.57421875" style="643" customWidth="1"/>
    <col min="13" max="13" width="7.57421875" style="643" bestFit="1" customWidth="1"/>
    <col min="14" max="14" width="8.8515625" style="612" customWidth="1"/>
    <col min="15" max="16384" width="9.140625" style="6" customWidth="1"/>
  </cols>
  <sheetData>
    <row r="1" spans="1:14" ht="24.75" customHeight="1" thickBot="1">
      <c r="A1" s="160" t="s">
        <v>402</v>
      </c>
      <c r="D1" s="127"/>
      <c r="E1" s="100"/>
      <c r="G1" s="100"/>
      <c r="N1" s="19" t="s">
        <v>0</v>
      </c>
    </row>
    <row r="2" spans="1:14" s="126" customFormat="1" ht="34.5" customHeight="1" thickBot="1">
      <c r="A2" s="1261" t="s">
        <v>192</v>
      </c>
      <c r="B2" s="603"/>
      <c r="C2" s="602" t="s">
        <v>117</v>
      </c>
      <c r="D2" s="604" t="s">
        <v>116</v>
      </c>
      <c r="E2" s="1223" t="s">
        <v>106</v>
      </c>
      <c r="F2" s="1223"/>
      <c r="G2" s="1223" t="s">
        <v>59</v>
      </c>
      <c r="H2" s="1223"/>
      <c r="I2" s="1223" t="s">
        <v>60</v>
      </c>
      <c r="J2" s="1223"/>
      <c r="K2" s="1263" t="s">
        <v>56</v>
      </c>
      <c r="L2" s="1259" t="s">
        <v>57</v>
      </c>
      <c r="M2" s="1223" t="s">
        <v>107</v>
      </c>
      <c r="N2" s="1223"/>
    </row>
    <row r="3" spans="1:14" ht="22.5" thickBot="1">
      <c r="A3" s="1262"/>
      <c r="B3" s="605"/>
      <c r="C3" s="607"/>
      <c r="D3" s="606"/>
      <c r="E3" s="462" t="s">
        <v>10</v>
      </c>
      <c r="F3" s="644" t="s">
        <v>9</v>
      </c>
      <c r="G3" s="462" t="s">
        <v>10</v>
      </c>
      <c r="H3" s="644" t="s">
        <v>9</v>
      </c>
      <c r="I3" s="608" t="s">
        <v>10</v>
      </c>
      <c r="J3" s="463" t="s">
        <v>9</v>
      </c>
      <c r="K3" s="1264"/>
      <c r="L3" s="1260"/>
      <c r="M3" s="462" t="s">
        <v>10</v>
      </c>
      <c r="N3" s="644" t="s">
        <v>9</v>
      </c>
    </row>
    <row r="4" spans="1:14" s="254" customFormat="1" ht="62.25" customHeight="1">
      <c r="A4" s="625" t="s">
        <v>149</v>
      </c>
      <c r="B4" s="632">
        <v>1</v>
      </c>
      <c r="C4" s="879" t="s">
        <v>76</v>
      </c>
      <c r="D4" s="639" t="s">
        <v>577</v>
      </c>
      <c r="E4" s="618"/>
      <c r="F4" s="645"/>
      <c r="G4" s="880"/>
      <c r="H4" s="645"/>
      <c r="I4" s="619"/>
      <c r="J4" s="620"/>
      <c r="K4" s="655"/>
      <c r="L4" s="655">
        <v>275.1</v>
      </c>
      <c r="M4" s="1121">
        <f>E4+G4</f>
        <v>0</v>
      </c>
      <c r="N4" s="1122">
        <f>F4+J4+K4+L4+H4</f>
        <v>275.1</v>
      </c>
    </row>
    <row r="5" spans="1:14" s="247" customFormat="1" ht="60.75">
      <c r="A5" s="633"/>
      <c r="B5" s="634">
        <v>2</v>
      </c>
      <c r="C5" s="635" t="s">
        <v>84</v>
      </c>
      <c r="D5" s="640" t="s">
        <v>598</v>
      </c>
      <c r="E5" s="636"/>
      <c r="F5" s="646"/>
      <c r="G5" s="949">
        <v>2</v>
      </c>
      <c r="H5" s="795">
        <f>165.9+374.1+603</f>
        <v>1143</v>
      </c>
      <c r="I5" s="637"/>
      <c r="J5" s="638"/>
      <c r="K5" s="656"/>
      <c r="L5" s="656"/>
      <c r="M5" s="1123">
        <f>E5+G5</f>
        <v>2</v>
      </c>
      <c r="N5" s="1122">
        <f>F5+J5+K5+L5+H5</f>
        <v>1143</v>
      </c>
    </row>
    <row r="6" spans="1:14" s="247" customFormat="1" ht="87">
      <c r="A6" s="633"/>
      <c r="B6" s="634">
        <v>3</v>
      </c>
      <c r="C6" s="1125" t="s">
        <v>84</v>
      </c>
      <c r="D6" s="1127" t="s">
        <v>599</v>
      </c>
      <c r="E6" s="1126">
        <v>23</v>
      </c>
      <c r="F6" s="795">
        <f>369+369+369+147.6+442.8</f>
        <v>1697.3999999999999</v>
      </c>
      <c r="G6" s="949"/>
      <c r="H6" s="795"/>
      <c r="I6" s="637"/>
      <c r="J6" s="638"/>
      <c r="K6" s="656"/>
      <c r="L6" s="656"/>
      <c r="M6" s="1123">
        <f>E6+G6</f>
        <v>23</v>
      </c>
      <c r="N6" s="1122">
        <f>F6+J6+K6+L6+H6</f>
        <v>1697.3999999999999</v>
      </c>
    </row>
    <row r="7" spans="1:14" s="244" customFormat="1" ht="24" customHeight="1">
      <c r="A7" s="621"/>
      <c r="B7" s="622"/>
      <c r="C7" s="623"/>
      <c r="D7" s="624" t="s">
        <v>97</v>
      </c>
      <c r="E7" s="748">
        <f>SUM(E4:E6)</f>
        <v>23</v>
      </c>
      <c r="F7" s="747">
        <f>SUM(F4:F6)</f>
        <v>1697.3999999999999</v>
      </c>
      <c r="G7" s="748">
        <f>SUM(G4:G6)</f>
        <v>2</v>
      </c>
      <c r="H7" s="747">
        <f>SUM(H4:H6)</f>
        <v>1143</v>
      </c>
      <c r="I7" s="748"/>
      <c r="J7" s="747"/>
      <c r="K7" s="748"/>
      <c r="L7" s="747">
        <f>SUM(L4:L6)</f>
        <v>275.1</v>
      </c>
      <c r="M7" s="951">
        <f>SUM(M4:M6)</f>
        <v>25</v>
      </c>
      <c r="N7" s="950">
        <f>SUM(N4:N6)</f>
        <v>3115.5</v>
      </c>
    </row>
    <row r="8" spans="1:14" s="247" customFormat="1" ht="60.75">
      <c r="A8" s="641" t="s">
        <v>580</v>
      </c>
      <c r="B8" s="642">
        <v>4</v>
      </c>
      <c r="C8" s="635" t="s">
        <v>70</v>
      </c>
      <c r="D8" s="640" t="s">
        <v>581</v>
      </c>
      <c r="E8" s="794">
        <v>6</v>
      </c>
      <c r="F8" s="795">
        <v>79.5</v>
      </c>
      <c r="G8" s="636"/>
      <c r="H8" s="646"/>
      <c r="I8" s="637"/>
      <c r="J8" s="638"/>
      <c r="K8" s="656"/>
      <c r="L8" s="656"/>
      <c r="M8" s="656">
        <f>E8+G8</f>
        <v>6</v>
      </c>
      <c r="N8" s="661">
        <f>F8+J8+K8+L8+H8</f>
        <v>79.5</v>
      </c>
    </row>
    <row r="9" spans="1:14" s="244" customFormat="1" ht="24" customHeight="1">
      <c r="A9" s="621"/>
      <c r="B9" s="622"/>
      <c r="C9" s="623"/>
      <c r="D9" s="624" t="s">
        <v>97</v>
      </c>
      <c r="E9" s="748">
        <f>SUM(E8)</f>
        <v>6</v>
      </c>
      <c r="F9" s="747">
        <f>SUM(F8)</f>
        <v>79.5</v>
      </c>
      <c r="G9" s="748"/>
      <c r="H9" s="748"/>
      <c r="I9" s="748"/>
      <c r="J9" s="748"/>
      <c r="K9" s="748"/>
      <c r="L9" s="748"/>
      <c r="M9" s="748">
        <f>SUM(M8)</f>
        <v>6</v>
      </c>
      <c r="N9" s="747">
        <f>SUM(N8)</f>
        <v>79.5</v>
      </c>
    </row>
    <row r="10" spans="1:14" s="244" customFormat="1" ht="96">
      <c r="A10" s="641" t="s">
        <v>603</v>
      </c>
      <c r="B10" s="642">
        <v>5</v>
      </c>
      <c r="C10" s="635" t="s">
        <v>75</v>
      </c>
      <c r="D10" s="1124" t="s">
        <v>604</v>
      </c>
      <c r="E10" s="794">
        <v>3</v>
      </c>
      <c r="F10" s="795">
        <f>202.6+279.6+229.5</f>
        <v>711.7</v>
      </c>
      <c r="G10" s="636"/>
      <c r="H10" s="646"/>
      <c r="I10" s="637"/>
      <c r="J10" s="638"/>
      <c r="K10" s="656"/>
      <c r="L10" s="656"/>
      <c r="M10" s="656">
        <f>E10+G10</f>
        <v>3</v>
      </c>
      <c r="N10" s="661">
        <f>F10+J10+K10+L10+H10</f>
        <v>711.7</v>
      </c>
    </row>
    <row r="11" spans="1:14" s="244" customFormat="1" ht="24" customHeight="1">
      <c r="A11" s="621"/>
      <c r="B11" s="622"/>
      <c r="C11" s="623"/>
      <c r="D11" s="624" t="s">
        <v>97</v>
      </c>
      <c r="E11" s="748">
        <f>SUM(E10)</f>
        <v>3</v>
      </c>
      <c r="F11" s="747">
        <f>SUM(F10)</f>
        <v>711.7</v>
      </c>
      <c r="G11" s="748"/>
      <c r="H11" s="748"/>
      <c r="I11" s="748"/>
      <c r="J11" s="748"/>
      <c r="K11" s="748"/>
      <c r="L11" s="748"/>
      <c r="M11" s="748">
        <f>SUM(M10)</f>
        <v>3</v>
      </c>
      <c r="N11" s="747">
        <f>SUM(N10)</f>
        <v>711.7</v>
      </c>
    </row>
    <row r="12" spans="1:14" s="247" customFormat="1" ht="101.25">
      <c r="A12" s="641" t="s">
        <v>150</v>
      </c>
      <c r="B12" s="642">
        <v>6</v>
      </c>
      <c r="C12" s="635" t="s">
        <v>370</v>
      </c>
      <c r="D12" s="640" t="s">
        <v>600</v>
      </c>
      <c r="E12" s="794">
        <v>50</v>
      </c>
      <c r="F12" s="795">
        <f>223.6+74.5+74.6+149.1+223.8</f>
        <v>745.6000000000001</v>
      </c>
      <c r="G12" s="636"/>
      <c r="H12" s="646"/>
      <c r="I12" s="637"/>
      <c r="J12" s="638"/>
      <c r="K12" s="656"/>
      <c r="L12" s="656"/>
      <c r="M12" s="656">
        <f>E12+G12</f>
        <v>50</v>
      </c>
      <c r="N12" s="661">
        <f>F12+J12+K12+L12+H12</f>
        <v>745.6000000000001</v>
      </c>
    </row>
    <row r="13" spans="1:14" s="247" customFormat="1" ht="60.75">
      <c r="A13" s="641"/>
      <c r="B13" s="642">
        <v>7</v>
      </c>
      <c r="C13" s="635" t="s">
        <v>569</v>
      </c>
      <c r="D13" s="640" t="s">
        <v>605</v>
      </c>
      <c r="E13" s="794">
        <v>25</v>
      </c>
      <c r="F13" s="795">
        <f>858326*1.1/1000</f>
        <v>944.1586000000001</v>
      </c>
      <c r="G13" s="636"/>
      <c r="H13" s="646"/>
      <c r="I13" s="637"/>
      <c r="J13" s="638"/>
      <c r="K13" s="656"/>
      <c r="L13" s="656"/>
      <c r="M13" s="656">
        <f>E13+G13</f>
        <v>25</v>
      </c>
      <c r="N13" s="661">
        <f>F13+J13+K13+L13+H13</f>
        <v>944.1586000000001</v>
      </c>
    </row>
    <row r="14" spans="1:14" s="244" customFormat="1" ht="24" customHeight="1">
      <c r="A14" s="621"/>
      <c r="B14" s="622"/>
      <c r="C14" s="623"/>
      <c r="D14" s="624" t="s">
        <v>97</v>
      </c>
      <c r="E14" s="748">
        <f>SUM(E12:E13)</f>
        <v>75</v>
      </c>
      <c r="F14" s="747">
        <f>SUM(F12:F13)</f>
        <v>1689.7586000000001</v>
      </c>
      <c r="G14" s="748"/>
      <c r="H14" s="748"/>
      <c r="I14" s="748"/>
      <c r="J14" s="748"/>
      <c r="K14" s="748"/>
      <c r="L14" s="748"/>
      <c r="M14" s="748">
        <f>SUM(M12:M13)</f>
        <v>75</v>
      </c>
      <c r="N14" s="747">
        <f>SUM(N12:N13)</f>
        <v>1689.7586000000001</v>
      </c>
    </row>
    <row r="15" spans="1:14" s="247" customFormat="1" ht="26.25" customHeight="1">
      <c r="A15" s="641" t="s">
        <v>578</v>
      </c>
      <c r="B15" s="642">
        <v>8</v>
      </c>
      <c r="C15" s="635" t="s">
        <v>71</v>
      </c>
      <c r="D15" s="640" t="s">
        <v>601</v>
      </c>
      <c r="E15" s="794"/>
      <c r="F15" s="795"/>
      <c r="G15" s="794">
        <v>4</v>
      </c>
      <c r="H15" s="795">
        <v>739.2</v>
      </c>
      <c r="I15" s="637"/>
      <c r="J15" s="638"/>
      <c r="K15" s="656"/>
      <c r="L15" s="656"/>
      <c r="M15" s="656">
        <f>E15+G15</f>
        <v>4</v>
      </c>
      <c r="N15" s="661">
        <f>F15+J15+K15+L15+H15</f>
        <v>739.2</v>
      </c>
    </row>
    <row r="16" spans="1:14" s="247" customFormat="1" ht="40.5">
      <c r="A16" s="641"/>
      <c r="B16" s="642">
        <v>9</v>
      </c>
      <c r="C16" s="635" t="s">
        <v>65</v>
      </c>
      <c r="D16" s="640" t="s">
        <v>582</v>
      </c>
      <c r="E16" s="794">
        <v>7</v>
      </c>
      <c r="F16" s="795">
        <v>11</v>
      </c>
      <c r="G16" s="636"/>
      <c r="H16" s="646"/>
      <c r="I16" s="637">
        <v>5</v>
      </c>
      <c r="J16" s="638">
        <v>59.8</v>
      </c>
      <c r="K16" s="656"/>
      <c r="L16" s="656"/>
      <c r="M16" s="656">
        <f>E16+G16</f>
        <v>7</v>
      </c>
      <c r="N16" s="661">
        <f>F16+J16+K16+L16+H16</f>
        <v>70.8</v>
      </c>
    </row>
    <row r="17" spans="1:14" s="247" customFormat="1" ht="60.75">
      <c r="A17" s="641"/>
      <c r="B17" s="642">
        <v>10</v>
      </c>
      <c r="C17" s="635" t="s">
        <v>569</v>
      </c>
      <c r="D17" s="640" t="s">
        <v>602</v>
      </c>
      <c r="E17" s="794">
        <v>6</v>
      </c>
      <c r="F17" s="795">
        <v>526.3</v>
      </c>
      <c r="G17" s="636"/>
      <c r="H17" s="646"/>
      <c r="I17" s="637"/>
      <c r="J17" s="638"/>
      <c r="K17" s="656"/>
      <c r="L17" s="656"/>
      <c r="M17" s="656">
        <f>E17+G17</f>
        <v>6</v>
      </c>
      <c r="N17" s="661">
        <f>F17+J17+K17+L17+H17</f>
        <v>526.3</v>
      </c>
    </row>
    <row r="18" spans="1:14" s="244" customFormat="1" ht="24" customHeight="1" thickBot="1">
      <c r="A18" s="621"/>
      <c r="B18" s="622"/>
      <c r="C18" s="623"/>
      <c r="D18" s="624" t="s">
        <v>152</v>
      </c>
      <c r="E18" s="624">
        <f aca="true" t="shared" si="0" ref="E18:N18">SUM(E15:E17)</f>
        <v>13</v>
      </c>
      <c r="F18" s="624">
        <f t="shared" si="0"/>
        <v>537.3</v>
      </c>
      <c r="G18" s="624">
        <f t="shared" si="0"/>
        <v>4</v>
      </c>
      <c r="H18" s="624">
        <f t="shared" si="0"/>
        <v>739.2</v>
      </c>
      <c r="I18" s="624">
        <f t="shared" si="0"/>
        <v>5</v>
      </c>
      <c r="J18" s="624">
        <f t="shared" si="0"/>
        <v>59.8</v>
      </c>
      <c r="K18" s="624">
        <f t="shared" si="0"/>
        <v>0</v>
      </c>
      <c r="L18" s="624">
        <f t="shared" si="0"/>
        <v>0</v>
      </c>
      <c r="M18" s="624">
        <f t="shared" si="0"/>
        <v>17</v>
      </c>
      <c r="N18" s="624">
        <f t="shared" si="0"/>
        <v>1336.3</v>
      </c>
    </row>
    <row r="19" spans="1:14" s="255" customFormat="1" ht="18.75" customHeight="1" thickBot="1">
      <c r="A19" s="627"/>
      <c r="B19" s="628"/>
      <c r="C19" s="629"/>
      <c r="D19" s="630" t="s">
        <v>53</v>
      </c>
      <c r="E19" s="631">
        <f aca="true" t="shared" si="1" ref="E19:N19">SUM(E4:E18)/2</f>
        <v>120</v>
      </c>
      <c r="F19" s="647">
        <f t="shared" si="1"/>
        <v>4715.658599999999</v>
      </c>
      <c r="G19" s="631">
        <f t="shared" si="1"/>
        <v>6</v>
      </c>
      <c r="H19" s="647">
        <f t="shared" si="1"/>
        <v>1882.1999999999998</v>
      </c>
      <c r="I19" s="631">
        <f t="shared" si="1"/>
        <v>5</v>
      </c>
      <c r="J19" s="647">
        <f t="shared" si="1"/>
        <v>59.8</v>
      </c>
      <c r="K19" s="631">
        <f t="shared" si="1"/>
        <v>0</v>
      </c>
      <c r="L19" s="631">
        <f t="shared" si="1"/>
        <v>275.1</v>
      </c>
      <c r="M19" s="631">
        <f t="shared" si="1"/>
        <v>126</v>
      </c>
      <c r="N19" s="647">
        <f t="shared" si="1"/>
        <v>6932.758599999999</v>
      </c>
    </row>
    <row r="20" spans="1:14" s="108" customFormat="1" ht="19.5" customHeight="1">
      <c r="A20" s="93"/>
      <c r="B20" s="179"/>
      <c r="C20" s="93"/>
      <c r="D20" s="169"/>
      <c r="E20" s="129"/>
      <c r="F20" s="648"/>
      <c r="G20" s="129"/>
      <c r="H20" s="648"/>
      <c r="I20" s="611"/>
      <c r="J20" s="448"/>
      <c r="K20" s="657"/>
      <c r="L20" s="657"/>
      <c r="M20" s="657"/>
      <c r="N20" s="751"/>
    </row>
    <row r="21" spans="1:14" s="108" customFormat="1" ht="19.5" customHeight="1">
      <c r="A21" s="89"/>
      <c r="B21" s="89"/>
      <c r="C21" s="89"/>
      <c r="D21" s="169"/>
      <c r="E21" s="129"/>
      <c r="F21" s="237"/>
      <c r="G21" s="129"/>
      <c r="H21" s="237"/>
      <c r="I21" s="611"/>
      <c r="J21" s="448"/>
      <c r="K21" s="657"/>
      <c r="L21" s="657"/>
      <c r="M21" s="657"/>
      <c r="N21" s="448"/>
    </row>
    <row r="22" spans="1:14" s="7" customFormat="1" ht="18.75" customHeight="1">
      <c r="A22" s="128"/>
      <c r="B22" s="128"/>
      <c r="C22" s="128"/>
      <c r="D22" s="168"/>
      <c r="E22" s="184"/>
      <c r="F22" s="239"/>
      <c r="G22" s="184"/>
      <c r="H22" s="239"/>
      <c r="I22" s="530"/>
      <c r="J22" s="613"/>
      <c r="K22" s="658"/>
      <c r="L22" s="658"/>
      <c r="M22" s="658"/>
      <c r="N22" s="613"/>
    </row>
    <row r="23" spans="1:14" s="7" customFormat="1" ht="18.75" customHeight="1">
      <c r="A23" s="128"/>
      <c r="B23" s="128"/>
      <c r="C23" s="128"/>
      <c r="D23" s="168"/>
      <c r="E23" s="129"/>
      <c r="F23" s="237"/>
      <c r="G23" s="129"/>
      <c r="H23" s="237"/>
      <c r="I23" s="530"/>
      <c r="J23" s="613"/>
      <c r="K23" s="658"/>
      <c r="L23" s="658"/>
      <c r="M23" s="658"/>
      <c r="N23" s="613"/>
    </row>
    <row r="24" spans="1:14" s="7" customFormat="1" ht="18.75" customHeight="1">
      <c r="A24" s="128"/>
      <c r="B24" s="128"/>
      <c r="C24" s="128"/>
      <c r="D24" s="168"/>
      <c r="E24" s="184"/>
      <c r="F24" s="239"/>
      <c r="G24" s="184"/>
      <c r="H24" s="239"/>
      <c r="I24" s="530"/>
      <c r="J24" s="613"/>
      <c r="K24" s="658"/>
      <c r="L24" s="658"/>
      <c r="M24" s="658"/>
      <c r="N24" s="613"/>
    </row>
    <row r="25" spans="1:14" s="7" customFormat="1" ht="18.75" customHeight="1">
      <c r="A25" s="128"/>
      <c r="B25" s="128"/>
      <c r="C25" s="128"/>
      <c r="D25" s="168"/>
      <c r="E25" s="184"/>
      <c r="F25" s="237"/>
      <c r="G25" s="184"/>
      <c r="H25" s="237"/>
      <c r="I25" s="530"/>
      <c r="J25" s="613"/>
      <c r="K25" s="658"/>
      <c r="L25" s="658"/>
      <c r="M25" s="658"/>
      <c r="N25" s="613"/>
    </row>
    <row r="26" spans="1:14" s="7" customFormat="1" ht="18.75" customHeight="1">
      <c r="A26" s="128"/>
      <c r="B26" s="128"/>
      <c r="C26" s="128"/>
      <c r="D26" s="168"/>
      <c r="E26" s="129"/>
      <c r="F26" s="237"/>
      <c r="G26" s="129"/>
      <c r="H26" s="237"/>
      <c r="I26" s="530"/>
      <c r="J26" s="613"/>
      <c r="K26" s="658"/>
      <c r="L26" s="658"/>
      <c r="M26" s="658"/>
      <c r="N26" s="613"/>
    </row>
    <row r="27" spans="1:14" s="7" customFormat="1" ht="18.75" customHeight="1">
      <c r="A27" s="128"/>
      <c r="B27" s="128"/>
      <c r="C27" s="128"/>
      <c r="D27" s="168"/>
      <c r="E27" s="129"/>
      <c r="F27" s="237"/>
      <c r="G27" s="129"/>
      <c r="H27" s="237"/>
      <c r="I27" s="530"/>
      <c r="J27" s="613"/>
      <c r="K27" s="658"/>
      <c r="L27" s="658"/>
      <c r="M27" s="658"/>
      <c r="N27" s="613"/>
    </row>
    <row r="28" spans="1:14" s="108" customFormat="1" ht="19.5" customHeight="1">
      <c r="A28" s="128"/>
      <c r="B28" s="128"/>
      <c r="C28" s="128"/>
      <c r="D28" s="167"/>
      <c r="E28" s="129"/>
      <c r="F28" s="237"/>
      <c r="G28" s="129"/>
      <c r="H28" s="237"/>
      <c r="I28" s="611"/>
      <c r="J28" s="448"/>
      <c r="K28" s="657"/>
      <c r="L28" s="657"/>
      <c r="M28" s="657"/>
      <c r="N28" s="448"/>
    </row>
    <row r="29" spans="1:14" s="108" customFormat="1" ht="19.5" customHeight="1">
      <c r="A29" s="128"/>
      <c r="B29" s="128"/>
      <c r="C29" s="128"/>
      <c r="D29" s="167"/>
      <c r="E29" s="129"/>
      <c r="F29" s="237"/>
      <c r="G29" s="129"/>
      <c r="H29" s="237"/>
      <c r="I29" s="611"/>
      <c r="J29" s="448"/>
      <c r="K29" s="657"/>
      <c r="L29" s="657"/>
      <c r="M29" s="657"/>
      <c r="N29" s="448"/>
    </row>
    <row r="30" spans="1:8" ht="21.75">
      <c r="A30" s="186"/>
      <c r="F30" s="649"/>
      <c r="H30" s="649"/>
    </row>
    <row r="31" spans="1:8" ht="21.75">
      <c r="A31" s="186"/>
      <c r="F31" s="649"/>
      <c r="H31" s="649"/>
    </row>
    <row r="32" spans="1:14" s="201" customFormat="1" ht="21.75" customHeight="1">
      <c r="A32" s="183"/>
      <c r="B32" s="183"/>
      <c r="C32" s="183"/>
      <c r="E32" s="200"/>
      <c r="F32" s="650"/>
      <c r="G32" s="200"/>
      <c r="H32" s="650"/>
      <c r="I32" s="200"/>
      <c r="J32" s="614"/>
      <c r="K32" s="659"/>
      <c r="L32" s="659"/>
      <c r="M32" s="659"/>
      <c r="N32" s="614"/>
    </row>
    <row r="33" spans="1:14" s="3" customFormat="1" ht="18" customHeight="1">
      <c r="A33" s="183"/>
      <c r="B33" s="183"/>
      <c r="C33" s="183"/>
      <c r="D33" s="170"/>
      <c r="E33" s="102"/>
      <c r="F33" s="651"/>
      <c r="G33" s="102"/>
      <c r="H33" s="651"/>
      <c r="I33" s="2"/>
      <c r="J33" s="615"/>
      <c r="K33" s="660"/>
      <c r="L33" s="660"/>
      <c r="M33" s="660"/>
      <c r="N33" s="615"/>
    </row>
    <row r="34" spans="1:14" ht="19.5" customHeight="1">
      <c r="A34" s="88"/>
      <c r="B34" s="88"/>
      <c r="C34" s="88"/>
      <c r="D34" s="171"/>
      <c r="F34" s="652"/>
      <c r="H34" s="652"/>
      <c r="I34" s="610"/>
      <c r="J34" s="616"/>
      <c r="K34" s="653"/>
      <c r="L34" s="653"/>
      <c r="M34" s="653"/>
      <c r="N34" s="616"/>
    </row>
    <row r="35" spans="2:14" ht="17.25">
      <c r="B35" s="88"/>
      <c r="C35" s="88"/>
      <c r="D35" s="171"/>
      <c r="F35" s="652"/>
      <c r="H35" s="652"/>
      <c r="I35" s="610"/>
      <c r="J35" s="616"/>
      <c r="K35" s="653"/>
      <c r="L35" s="653"/>
      <c r="M35" s="653"/>
      <c r="N35" s="616"/>
    </row>
    <row r="36" spans="2:14" ht="17.25">
      <c r="B36" s="88"/>
      <c r="C36" s="88"/>
      <c r="D36" s="171"/>
      <c r="F36" s="652"/>
      <c r="H36" s="652"/>
      <c r="I36" s="610"/>
      <c r="J36" s="616"/>
      <c r="K36" s="653"/>
      <c r="L36" s="653"/>
      <c r="M36" s="653"/>
      <c r="N36" s="616"/>
    </row>
    <row r="37" spans="2:14" ht="17.25">
      <c r="B37" s="88"/>
      <c r="C37" s="88"/>
      <c r="D37" s="171"/>
      <c r="F37" s="652"/>
      <c r="H37" s="652"/>
      <c r="I37" s="610"/>
      <c r="J37" s="616"/>
      <c r="K37" s="653"/>
      <c r="L37" s="653"/>
      <c r="M37" s="653"/>
      <c r="N37" s="616"/>
    </row>
    <row r="38" spans="2:14" ht="17.25">
      <c r="B38" s="88"/>
      <c r="C38" s="88"/>
      <c r="D38" s="171"/>
      <c r="F38" s="652"/>
      <c r="H38" s="652"/>
      <c r="I38" s="610"/>
      <c r="J38" s="616"/>
      <c r="K38" s="653"/>
      <c r="L38" s="653"/>
      <c r="M38" s="653"/>
      <c r="N38" s="616"/>
    </row>
    <row r="39" spans="2:14" ht="17.25">
      <c r="B39" s="88"/>
      <c r="C39" s="88"/>
      <c r="D39" s="171"/>
      <c r="F39" s="652"/>
      <c r="H39" s="652"/>
      <c r="I39" s="610"/>
      <c r="J39" s="616"/>
      <c r="K39" s="653"/>
      <c r="L39" s="653"/>
      <c r="M39" s="653"/>
      <c r="N39" s="616"/>
    </row>
    <row r="40" spans="2:14" ht="17.25">
      <c r="B40" s="88"/>
      <c r="C40" s="88"/>
      <c r="D40" s="171"/>
      <c r="F40" s="652"/>
      <c r="H40" s="652"/>
      <c r="I40" s="610"/>
      <c r="J40" s="616"/>
      <c r="K40" s="653"/>
      <c r="L40" s="653"/>
      <c r="M40" s="653"/>
      <c r="N40" s="616"/>
    </row>
    <row r="41" spans="2:14" ht="17.25">
      <c r="B41" s="88"/>
      <c r="C41" s="88"/>
      <c r="D41" s="171"/>
      <c r="F41" s="652"/>
      <c r="H41" s="652"/>
      <c r="I41" s="610"/>
      <c r="J41" s="616"/>
      <c r="K41" s="653"/>
      <c r="L41" s="653"/>
      <c r="M41" s="653"/>
      <c r="N41" s="616"/>
    </row>
    <row r="42" spans="2:14" ht="17.25">
      <c r="B42" s="88"/>
      <c r="C42" s="88"/>
      <c r="D42" s="171"/>
      <c r="F42" s="652"/>
      <c r="H42" s="652"/>
      <c r="I42" s="610"/>
      <c r="J42" s="616"/>
      <c r="K42" s="653"/>
      <c r="L42" s="653"/>
      <c r="M42" s="653"/>
      <c r="N42" s="616"/>
    </row>
    <row r="43" spans="2:14" ht="17.25">
      <c r="B43" s="88"/>
      <c r="C43" s="88"/>
      <c r="D43" s="171"/>
      <c r="F43" s="652"/>
      <c r="H43" s="652"/>
      <c r="I43" s="610"/>
      <c r="J43" s="616"/>
      <c r="K43" s="653"/>
      <c r="L43" s="653"/>
      <c r="M43" s="653"/>
      <c r="N43" s="616"/>
    </row>
    <row r="44" spans="2:14" ht="17.25">
      <c r="B44" s="88"/>
      <c r="C44" s="88"/>
      <c r="D44" s="171"/>
      <c r="F44" s="652"/>
      <c r="H44" s="652"/>
      <c r="I44" s="610"/>
      <c r="J44" s="616"/>
      <c r="K44" s="653"/>
      <c r="L44" s="653"/>
      <c r="M44" s="653"/>
      <c r="N44" s="616"/>
    </row>
    <row r="45" spans="2:14" ht="17.25">
      <c r="B45" s="88"/>
      <c r="C45" s="88"/>
      <c r="D45" s="171"/>
      <c r="F45" s="652"/>
      <c r="H45" s="652"/>
      <c r="I45" s="610"/>
      <c r="J45" s="616"/>
      <c r="K45" s="653"/>
      <c r="L45" s="653"/>
      <c r="M45" s="653"/>
      <c r="N45" s="616"/>
    </row>
    <row r="46" spans="2:14" ht="17.25">
      <c r="B46" s="88"/>
      <c r="C46" s="88"/>
      <c r="D46" s="171"/>
      <c r="F46" s="652"/>
      <c r="H46" s="652"/>
      <c r="I46" s="610"/>
      <c r="J46" s="616"/>
      <c r="K46" s="653"/>
      <c r="L46" s="653"/>
      <c r="M46" s="653"/>
      <c r="N46" s="616"/>
    </row>
    <row r="47" spans="2:14" ht="17.25">
      <c r="B47" s="88"/>
      <c r="C47" s="88"/>
      <c r="D47" s="171"/>
      <c r="F47" s="652"/>
      <c r="H47" s="652"/>
      <c r="I47" s="610"/>
      <c r="J47" s="616"/>
      <c r="K47" s="653"/>
      <c r="L47" s="653"/>
      <c r="M47" s="653"/>
      <c r="N47" s="616"/>
    </row>
    <row r="48" spans="2:14" ht="17.25">
      <c r="B48" s="88"/>
      <c r="C48" s="88"/>
      <c r="D48" s="171"/>
      <c r="F48" s="652"/>
      <c r="H48" s="652"/>
      <c r="I48" s="610"/>
      <c r="J48" s="616"/>
      <c r="K48" s="653"/>
      <c r="L48" s="653"/>
      <c r="M48" s="653"/>
      <c r="N48" s="616"/>
    </row>
    <row r="49" spans="2:14" ht="17.25">
      <c r="B49" s="88"/>
      <c r="C49" s="88"/>
      <c r="D49" s="171"/>
      <c r="F49" s="652"/>
      <c r="H49" s="652"/>
      <c r="I49" s="610"/>
      <c r="J49" s="616"/>
      <c r="K49" s="653"/>
      <c r="L49" s="653"/>
      <c r="M49" s="653"/>
      <c r="N49" s="616"/>
    </row>
    <row r="50" spans="2:14" ht="17.25">
      <c r="B50" s="88"/>
      <c r="C50" s="88"/>
      <c r="D50" s="171"/>
      <c r="F50" s="653"/>
      <c r="H50" s="653"/>
      <c r="I50" s="610"/>
      <c r="J50" s="616"/>
      <c r="K50" s="653"/>
      <c r="L50" s="653"/>
      <c r="M50" s="653"/>
      <c r="N50" s="616"/>
    </row>
    <row r="51" spans="2:14" ht="17.25">
      <c r="B51" s="88"/>
      <c r="C51" s="88"/>
      <c r="D51" s="171"/>
      <c r="F51" s="653"/>
      <c r="H51" s="653"/>
      <c r="I51" s="610"/>
      <c r="J51" s="616"/>
      <c r="K51" s="653"/>
      <c r="L51" s="653"/>
      <c r="M51" s="653"/>
      <c r="N51" s="616"/>
    </row>
    <row r="52" spans="2:14" ht="17.25">
      <c r="B52" s="88"/>
      <c r="C52" s="88"/>
      <c r="D52" s="171"/>
      <c r="F52" s="653"/>
      <c r="H52" s="653"/>
      <c r="I52" s="610"/>
      <c r="J52" s="616"/>
      <c r="K52" s="653"/>
      <c r="L52" s="653"/>
      <c r="M52" s="653"/>
      <c r="N52" s="616"/>
    </row>
    <row r="53" spans="2:14" ht="17.25">
      <c r="B53" s="88"/>
      <c r="C53" s="88"/>
      <c r="D53" s="171"/>
      <c r="F53" s="653"/>
      <c r="H53" s="653"/>
      <c r="I53" s="610"/>
      <c r="J53" s="616"/>
      <c r="K53" s="653"/>
      <c r="L53" s="653"/>
      <c r="M53" s="653"/>
      <c r="N53" s="616"/>
    </row>
    <row r="54" spans="2:14" ht="17.25">
      <c r="B54" s="88"/>
      <c r="C54" s="88"/>
      <c r="D54" s="171"/>
      <c r="F54" s="653"/>
      <c r="H54" s="653"/>
      <c r="I54" s="610"/>
      <c r="J54" s="616"/>
      <c r="K54" s="653"/>
      <c r="L54" s="653"/>
      <c r="M54" s="653"/>
      <c r="N54" s="616"/>
    </row>
    <row r="55" spans="2:14" ht="17.25">
      <c r="B55" s="88"/>
      <c r="C55" s="88"/>
      <c r="D55" s="171"/>
      <c r="F55" s="653"/>
      <c r="H55" s="653"/>
      <c r="I55" s="610"/>
      <c r="J55" s="616"/>
      <c r="K55" s="653"/>
      <c r="L55" s="653"/>
      <c r="M55" s="653"/>
      <c r="N55" s="616"/>
    </row>
    <row r="56" spans="2:14" ht="17.25">
      <c r="B56" s="88"/>
      <c r="C56" s="88"/>
      <c r="D56" s="171"/>
      <c r="F56" s="653"/>
      <c r="H56" s="653"/>
      <c r="I56" s="610"/>
      <c r="J56" s="616"/>
      <c r="K56" s="653"/>
      <c r="L56" s="653"/>
      <c r="M56" s="653"/>
      <c r="N56" s="616"/>
    </row>
    <row r="57" spans="2:14" ht="17.25">
      <c r="B57" s="88"/>
      <c r="C57" s="88"/>
      <c r="D57" s="171"/>
      <c r="F57" s="653"/>
      <c r="H57" s="653"/>
      <c r="I57" s="610"/>
      <c r="J57" s="616"/>
      <c r="K57" s="653"/>
      <c r="L57" s="653"/>
      <c r="M57" s="653"/>
      <c r="N57" s="616"/>
    </row>
    <row r="58" spans="2:14" ht="17.25">
      <c r="B58" s="88"/>
      <c r="C58" s="88"/>
      <c r="D58" s="171"/>
      <c r="F58" s="653"/>
      <c r="H58" s="653"/>
      <c r="I58" s="610"/>
      <c r="J58" s="616"/>
      <c r="K58" s="653"/>
      <c r="L58" s="653"/>
      <c r="M58" s="653"/>
      <c r="N58" s="616"/>
    </row>
    <row r="59" spans="2:14" ht="17.25">
      <c r="B59" s="88"/>
      <c r="C59" s="88"/>
      <c r="D59" s="171"/>
      <c r="F59" s="653"/>
      <c r="H59" s="653"/>
      <c r="I59" s="610"/>
      <c r="J59" s="616"/>
      <c r="K59" s="653"/>
      <c r="L59" s="653"/>
      <c r="M59" s="653"/>
      <c r="N59" s="616"/>
    </row>
    <row r="60" spans="2:14" ht="17.25">
      <c r="B60" s="88"/>
      <c r="C60" s="88"/>
      <c r="D60" s="171"/>
      <c r="F60" s="653"/>
      <c r="H60" s="653"/>
      <c r="I60" s="610"/>
      <c r="J60" s="616"/>
      <c r="K60" s="653"/>
      <c r="L60" s="653"/>
      <c r="M60" s="653"/>
      <c r="N60" s="616"/>
    </row>
    <row r="61" spans="2:14" ht="17.25">
      <c r="B61" s="88"/>
      <c r="C61" s="88"/>
      <c r="D61" s="171"/>
      <c r="F61" s="653"/>
      <c r="H61" s="653"/>
      <c r="I61" s="610"/>
      <c r="J61" s="616"/>
      <c r="K61" s="653"/>
      <c r="L61" s="653"/>
      <c r="M61" s="653"/>
      <c r="N61" s="616"/>
    </row>
    <row r="62" spans="2:14" ht="17.25">
      <c r="B62" s="88"/>
      <c r="C62" s="88"/>
      <c r="D62" s="171"/>
      <c r="F62" s="653"/>
      <c r="H62" s="653"/>
      <c r="I62" s="610"/>
      <c r="J62" s="616"/>
      <c r="K62" s="653"/>
      <c r="L62" s="653"/>
      <c r="M62" s="653"/>
      <c r="N62" s="616"/>
    </row>
    <row r="63" spans="2:14" ht="17.25">
      <c r="B63" s="88"/>
      <c r="C63" s="88"/>
      <c r="D63" s="171"/>
      <c r="F63" s="653"/>
      <c r="H63" s="653"/>
      <c r="I63" s="610"/>
      <c r="J63" s="616"/>
      <c r="K63" s="653"/>
      <c r="L63" s="653"/>
      <c r="M63" s="653"/>
      <c r="N63" s="616"/>
    </row>
    <row r="64" spans="2:14" ht="17.25">
      <c r="B64" s="88"/>
      <c r="C64" s="88"/>
      <c r="D64" s="171"/>
      <c r="F64" s="653"/>
      <c r="H64" s="653"/>
      <c r="I64" s="610"/>
      <c r="J64" s="616"/>
      <c r="K64" s="653"/>
      <c r="L64" s="653"/>
      <c r="M64" s="653"/>
      <c r="N64" s="616"/>
    </row>
    <row r="65" spans="2:14" ht="17.25">
      <c r="B65" s="88"/>
      <c r="C65" s="88"/>
      <c r="D65" s="171"/>
      <c r="F65" s="653"/>
      <c r="H65" s="653"/>
      <c r="I65" s="610"/>
      <c r="J65" s="616"/>
      <c r="K65" s="653"/>
      <c r="L65" s="653"/>
      <c r="M65" s="653"/>
      <c r="N65" s="616"/>
    </row>
    <row r="66" spans="2:14" ht="17.25">
      <c r="B66" s="88"/>
      <c r="C66" s="88"/>
      <c r="D66" s="171"/>
      <c r="F66" s="653"/>
      <c r="H66" s="653"/>
      <c r="I66" s="610"/>
      <c r="J66" s="616"/>
      <c r="K66" s="653"/>
      <c r="L66" s="653"/>
      <c r="M66" s="653"/>
      <c r="N66" s="616"/>
    </row>
    <row r="67" spans="2:14" ht="17.25">
      <c r="B67" s="88"/>
      <c r="C67" s="88"/>
      <c r="D67" s="171"/>
      <c r="F67" s="653"/>
      <c r="H67" s="653"/>
      <c r="I67" s="610"/>
      <c r="J67" s="616"/>
      <c r="K67" s="653"/>
      <c r="L67" s="653"/>
      <c r="M67" s="653"/>
      <c r="N67" s="616"/>
    </row>
    <row r="68" spans="2:14" ht="17.25">
      <c r="B68" s="88"/>
      <c r="C68" s="88"/>
      <c r="D68" s="171"/>
      <c r="F68" s="653"/>
      <c r="H68" s="653"/>
      <c r="I68" s="610"/>
      <c r="J68" s="616"/>
      <c r="K68" s="653"/>
      <c r="L68" s="653"/>
      <c r="M68" s="653"/>
      <c r="N68" s="616"/>
    </row>
    <row r="69" spans="2:14" ht="17.25">
      <c r="B69" s="88"/>
      <c r="C69" s="88"/>
      <c r="D69" s="171"/>
      <c r="F69" s="653"/>
      <c r="H69" s="653"/>
      <c r="I69" s="610"/>
      <c r="J69" s="616"/>
      <c r="K69" s="653"/>
      <c r="L69" s="653"/>
      <c r="M69" s="653"/>
      <c r="N69" s="616"/>
    </row>
    <row r="70" spans="2:14" ht="17.25">
      <c r="B70" s="88"/>
      <c r="C70" s="88"/>
      <c r="D70" s="171"/>
      <c r="F70" s="653"/>
      <c r="H70" s="653"/>
      <c r="I70" s="610"/>
      <c r="J70" s="616"/>
      <c r="K70" s="653"/>
      <c r="L70" s="653"/>
      <c r="M70" s="653"/>
      <c r="N70" s="616"/>
    </row>
    <row r="71" spans="2:14" ht="17.25">
      <c r="B71" s="88"/>
      <c r="C71" s="88"/>
      <c r="D71" s="171"/>
      <c r="F71" s="653"/>
      <c r="H71" s="653"/>
      <c r="I71" s="610"/>
      <c r="J71" s="616"/>
      <c r="K71" s="653"/>
      <c r="L71" s="653"/>
      <c r="M71" s="653"/>
      <c r="N71" s="616"/>
    </row>
    <row r="72" spans="2:14" ht="17.25">
      <c r="B72" s="88"/>
      <c r="C72" s="88"/>
      <c r="D72" s="171"/>
      <c r="F72" s="653"/>
      <c r="H72" s="653"/>
      <c r="I72" s="610"/>
      <c r="J72" s="616"/>
      <c r="K72" s="653"/>
      <c r="L72" s="653"/>
      <c r="M72" s="653"/>
      <c r="N72" s="616"/>
    </row>
    <row r="73" spans="2:14" ht="17.25">
      <c r="B73" s="88"/>
      <c r="C73" s="88"/>
      <c r="D73" s="171"/>
      <c r="F73" s="653"/>
      <c r="H73" s="653"/>
      <c r="I73" s="610"/>
      <c r="J73" s="616"/>
      <c r="K73" s="653"/>
      <c r="L73" s="653"/>
      <c r="M73" s="653"/>
      <c r="N73" s="616"/>
    </row>
    <row r="74" spans="2:14" ht="17.25">
      <c r="B74" s="88"/>
      <c r="C74" s="88"/>
      <c r="D74" s="171"/>
      <c r="F74" s="653"/>
      <c r="H74" s="653"/>
      <c r="I74" s="610"/>
      <c r="J74" s="616"/>
      <c r="K74" s="653"/>
      <c r="L74" s="653"/>
      <c r="M74" s="653"/>
      <c r="N74" s="616"/>
    </row>
    <row r="75" spans="2:14" ht="17.25">
      <c r="B75" s="88"/>
      <c r="C75" s="88"/>
      <c r="D75" s="171"/>
      <c r="F75" s="653"/>
      <c r="H75" s="653"/>
      <c r="I75" s="610"/>
      <c r="J75" s="616"/>
      <c r="K75" s="653"/>
      <c r="L75" s="653"/>
      <c r="M75" s="653"/>
      <c r="N75" s="616"/>
    </row>
    <row r="76" spans="2:14" ht="17.25">
      <c r="B76" s="88"/>
      <c r="C76" s="88"/>
      <c r="D76" s="171"/>
      <c r="F76" s="653"/>
      <c r="H76" s="653"/>
      <c r="I76" s="610"/>
      <c r="J76" s="616"/>
      <c r="K76" s="653"/>
      <c r="L76" s="653"/>
      <c r="M76" s="653"/>
      <c r="N76" s="616"/>
    </row>
    <row r="77" spans="2:14" ht="18.75" customHeight="1">
      <c r="B77" s="88"/>
      <c r="C77" s="88"/>
      <c r="D77" s="171"/>
      <c r="F77" s="653"/>
      <c r="H77" s="653"/>
      <c r="I77" s="610"/>
      <c r="J77" s="616"/>
      <c r="K77" s="653"/>
      <c r="L77" s="653"/>
      <c r="M77" s="653"/>
      <c r="N77" s="616"/>
    </row>
    <row r="78" spans="2:14" ht="18" customHeight="1">
      <c r="B78" s="88"/>
      <c r="C78" s="88"/>
      <c r="D78" s="171"/>
      <c r="F78" s="653"/>
      <c r="H78" s="653"/>
      <c r="I78" s="610"/>
      <c r="J78" s="616"/>
      <c r="K78" s="653"/>
      <c r="L78" s="653"/>
      <c r="M78" s="653"/>
      <c r="N78" s="616"/>
    </row>
    <row r="79" spans="2:14" ht="18" customHeight="1">
      <c r="B79" s="88"/>
      <c r="C79" s="88"/>
      <c r="D79" s="171"/>
      <c r="F79" s="653"/>
      <c r="H79" s="653"/>
      <c r="I79" s="610"/>
      <c r="J79" s="616"/>
      <c r="K79" s="653"/>
      <c r="L79" s="653"/>
      <c r="M79" s="653"/>
      <c r="N79" s="616"/>
    </row>
    <row r="80" spans="2:14" ht="18.75" customHeight="1">
      <c r="B80" s="88"/>
      <c r="C80" s="88"/>
      <c r="D80" s="171"/>
      <c r="F80" s="653"/>
      <c r="H80" s="653"/>
      <c r="I80" s="610"/>
      <c r="J80" s="616"/>
      <c r="K80" s="653"/>
      <c r="L80" s="653"/>
      <c r="M80" s="653"/>
      <c r="N80" s="616"/>
    </row>
    <row r="81" spans="2:14" ht="18.75" customHeight="1">
      <c r="B81" s="88"/>
      <c r="C81" s="88"/>
      <c r="D81" s="171"/>
      <c r="F81" s="653"/>
      <c r="H81" s="653"/>
      <c r="I81" s="610"/>
      <c r="J81" s="616"/>
      <c r="K81" s="653"/>
      <c r="L81" s="653"/>
      <c r="M81" s="653"/>
      <c r="N81" s="616"/>
    </row>
    <row r="82" spans="2:14" ht="17.25" customHeight="1">
      <c r="B82" s="88"/>
      <c r="C82" s="88"/>
      <c r="D82" s="171"/>
      <c r="F82" s="653"/>
      <c r="H82" s="653"/>
      <c r="I82" s="610"/>
      <c r="J82" s="616"/>
      <c r="K82" s="653"/>
      <c r="L82" s="653"/>
      <c r="M82" s="653"/>
      <c r="N82" s="616"/>
    </row>
    <row r="83" spans="2:14" ht="19.5" customHeight="1">
      <c r="B83" s="88"/>
      <c r="C83" s="88"/>
      <c r="D83" s="171"/>
      <c r="F83" s="653"/>
      <c r="H83" s="653"/>
      <c r="I83" s="610"/>
      <c r="J83" s="616"/>
      <c r="K83" s="653"/>
      <c r="L83" s="653"/>
      <c r="M83" s="653"/>
      <c r="N83" s="616"/>
    </row>
    <row r="84" spans="2:14" ht="19.5" customHeight="1">
      <c r="B84" s="88"/>
      <c r="C84" s="88"/>
      <c r="D84" s="171"/>
      <c r="F84" s="653"/>
      <c r="H84" s="653"/>
      <c r="I84" s="610"/>
      <c r="J84" s="616"/>
      <c r="K84" s="653"/>
      <c r="L84" s="653"/>
      <c r="M84" s="653"/>
      <c r="N84" s="616"/>
    </row>
    <row r="85" spans="2:14" ht="17.25">
      <c r="B85" s="88"/>
      <c r="C85" s="88"/>
      <c r="D85" s="171"/>
      <c r="F85" s="653"/>
      <c r="H85" s="653"/>
      <c r="I85" s="610"/>
      <c r="J85" s="616"/>
      <c r="K85" s="653"/>
      <c r="L85" s="653"/>
      <c r="M85" s="653"/>
      <c r="N85" s="616"/>
    </row>
    <row r="86" spans="2:14" ht="18.75" customHeight="1">
      <c r="B86" s="88"/>
      <c r="C86" s="88"/>
      <c r="D86" s="171"/>
      <c r="F86" s="653"/>
      <c r="H86" s="653"/>
      <c r="I86" s="610"/>
      <c r="J86" s="616"/>
      <c r="K86" s="653"/>
      <c r="L86" s="653"/>
      <c r="M86" s="653"/>
      <c r="N86" s="616"/>
    </row>
    <row r="87" spans="2:14" ht="18.75" customHeight="1">
      <c r="B87" s="88"/>
      <c r="C87" s="88"/>
      <c r="D87" s="171"/>
      <c r="F87" s="653"/>
      <c r="H87" s="653"/>
      <c r="I87" s="610"/>
      <c r="J87" s="616"/>
      <c r="K87" s="653"/>
      <c r="L87" s="653"/>
      <c r="M87" s="653"/>
      <c r="N87" s="616"/>
    </row>
    <row r="88" spans="2:14" ht="18.75" customHeight="1">
      <c r="B88" s="88"/>
      <c r="C88" s="88"/>
      <c r="D88" s="171"/>
      <c r="F88" s="653"/>
      <c r="H88" s="653"/>
      <c r="I88" s="610"/>
      <c r="J88" s="616"/>
      <c r="K88" s="653"/>
      <c r="L88" s="653"/>
      <c r="M88" s="653"/>
      <c r="N88" s="616"/>
    </row>
    <row r="89" spans="2:14" ht="18.75" customHeight="1">
      <c r="B89" s="88"/>
      <c r="C89" s="88"/>
      <c r="D89" s="171"/>
      <c r="F89" s="653"/>
      <c r="H89" s="653"/>
      <c r="I89" s="610"/>
      <c r="J89" s="616"/>
      <c r="K89" s="653"/>
      <c r="L89" s="653"/>
      <c r="M89" s="653"/>
      <c r="N89" s="616"/>
    </row>
    <row r="90" spans="2:14" ht="19.5" customHeight="1">
      <c r="B90" s="88"/>
      <c r="C90" s="88"/>
      <c r="D90" s="171"/>
      <c r="F90" s="653"/>
      <c r="H90" s="653"/>
      <c r="I90" s="610"/>
      <c r="J90" s="616"/>
      <c r="K90" s="653"/>
      <c r="L90" s="653"/>
      <c r="M90" s="653"/>
      <c r="N90" s="616"/>
    </row>
    <row r="91" spans="2:14" ht="17.25">
      <c r="B91" s="88"/>
      <c r="C91" s="88"/>
      <c r="D91" s="171"/>
      <c r="F91" s="653"/>
      <c r="H91" s="653"/>
      <c r="I91" s="610"/>
      <c r="J91" s="616"/>
      <c r="K91" s="653"/>
      <c r="L91" s="653"/>
      <c r="M91" s="653"/>
      <c r="N91" s="616"/>
    </row>
    <row r="92" spans="2:14" ht="17.25">
      <c r="B92" s="88"/>
      <c r="C92" s="88"/>
      <c r="D92" s="171"/>
      <c r="F92" s="653"/>
      <c r="H92" s="653"/>
      <c r="I92" s="610"/>
      <c r="J92" s="616"/>
      <c r="K92" s="653"/>
      <c r="L92" s="653"/>
      <c r="M92" s="653"/>
      <c r="N92" s="616"/>
    </row>
    <row r="93" spans="2:14" ht="17.25">
      <c r="B93" s="88"/>
      <c r="C93" s="88"/>
      <c r="D93" s="171"/>
      <c r="F93" s="653"/>
      <c r="H93" s="653"/>
      <c r="I93" s="610"/>
      <c r="J93" s="616"/>
      <c r="K93" s="653"/>
      <c r="L93" s="653"/>
      <c r="M93" s="653"/>
      <c r="N93" s="616"/>
    </row>
    <row r="94" spans="2:14" ht="17.25">
      <c r="B94" s="88"/>
      <c r="C94" s="88"/>
      <c r="D94" s="171"/>
      <c r="F94" s="653"/>
      <c r="H94" s="653"/>
      <c r="I94" s="610"/>
      <c r="J94" s="616"/>
      <c r="K94" s="653"/>
      <c r="L94" s="653"/>
      <c r="M94" s="653"/>
      <c r="N94" s="616"/>
    </row>
    <row r="95" spans="2:14" ht="17.25">
      <c r="B95" s="88"/>
      <c r="C95" s="88"/>
      <c r="D95" s="171"/>
      <c r="F95" s="653"/>
      <c r="H95" s="653"/>
      <c r="I95" s="610"/>
      <c r="J95" s="616"/>
      <c r="K95" s="653"/>
      <c r="L95" s="653"/>
      <c r="M95" s="653"/>
      <c r="N95" s="616"/>
    </row>
    <row r="96" spans="2:14" ht="17.25">
      <c r="B96" s="88"/>
      <c r="C96" s="88"/>
      <c r="D96" s="171"/>
      <c r="F96" s="653"/>
      <c r="H96" s="653"/>
      <c r="I96" s="610"/>
      <c r="J96" s="616"/>
      <c r="K96" s="653"/>
      <c r="L96" s="653"/>
      <c r="M96" s="653"/>
      <c r="N96" s="616"/>
    </row>
    <row r="97" spans="2:14" ht="17.25">
      <c r="B97" s="88"/>
      <c r="C97" s="88"/>
      <c r="D97" s="171"/>
      <c r="F97" s="653"/>
      <c r="H97" s="653"/>
      <c r="I97" s="610"/>
      <c r="J97" s="616"/>
      <c r="K97" s="653"/>
      <c r="L97" s="653"/>
      <c r="M97" s="653"/>
      <c r="N97" s="616"/>
    </row>
    <row r="98" spans="2:14" ht="17.25">
      <c r="B98" s="88"/>
      <c r="C98" s="88"/>
      <c r="D98" s="171"/>
      <c r="F98" s="653"/>
      <c r="H98" s="653"/>
      <c r="I98" s="610"/>
      <c r="J98" s="616"/>
      <c r="K98" s="653"/>
      <c r="L98" s="653"/>
      <c r="M98" s="653"/>
      <c r="N98" s="616"/>
    </row>
    <row r="99" spans="2:14" ht="17.25">
      <c r="B99" s="88"/>
      <c r="C99" s="88"/>
      <c r="D99" s="171"/>
      <c r="F99" s="653"/>
      <c r="H99" s="653"/>
      <c r="I99" s="610"/>
      <c r="J99" s="616"/>
      <c r="K99" s="653"/>
      <c r="L99" s="653"/>
      <c r="M99" s="653"/>
      <c r="N99" s="616"/>
    </row>
    <row r="100" spans="2:14" ht="17.25">
      <c r="B100" s="88"/>
      <c r="C100" s="88"/>
      <c r="D100" s="171"/>
      <c r="F100" s="653"/>
      <c r="H100" s="653"/>
      <c r="I100" s="610"/>
      <c r="J100" s="616"/>
      <c r="K100" s="653"/>
      <c r="L100" s="653"/>
      <c r="M100" s="653"/>
      <c r="N100" s="616"/>
    </row>
    <row r="101" spans="2:14" ht="17.25">
      <c r="B101" s="88"/>
      <c r="C101" s="88"/>
      <c r="D101" s="171"/>
      <c r="F101" s="653"/>
      <c r="H101" s="653"/>
      <c r="I101" s="610"/>
      <c r="J101" s="616"/>
      <c r="K101" s="653"/>
      <c r="L101" s="653"/>
      <c r="M101" s="653"/>
      <c r="N101" s="616"/>
    </row>
    <row r="102" spans="2:14" ht="17.25">
      <c r="B102" s="88"/>
      <c r="C102" s="88"/>
      <c r="D102" s="171"/>
      <c r="F102" s="653"/>
      <c r="H102" s="653"/>
      <c r="I102" s="610"/>
      <c r="J102" s="616"/>
      <c r="K102" s="653"/>
      <c r="L102" s="653"/>
      <c r="M102" s="653"/>
      <c r="N102" s="616"/>
    </row>
    <row r="103" spans="2:14" ht="17.25">
      <c r="B103" s="88"/>
      <c r="C103" s="88"/>
      <c r="D103" s="171"/>
      <c r="F103" s="653"/>
      <c r="H103" s="653"/>
      <c r="I103" s="610"/>
      <c r="J103" s="616"/>
      <c r="K103" s="653"/>
      <c r="L103" s="653"/>
      <c r="M103" s="653"/>
      <c r="N103" s="616"/>
    </row>
    <row r="104" spans="2:14" ht="17.25">
      <c r="B104" s="88"/>
      <c r="C104" s="88"/>
      <c r="D104" s="171"/>
      <c r="F104" s="653"/>
      <c r="H104" s="653"/>
      <c r="I104" s="610"/>
      <c r="J104" s="616"/>
      <c r="K104" s="653"/>
      <c r="L104" s="653"/>
      <c r="M104" s="653"/>
      <c r="N104" s="616"/>
    </row>
    <row r="105" spans="2:14" ht="17.25">
      <c r="B105" s="88"/>
      <c r="C105" s="88"/>
      <c r="D105" s="171"/>
      <c r="F105" s="653"/>
      <c r="H105" s="653"/>
      <c r="I105" s="610"/>
      <c r="J105" s="616"/>
      <c r="K105" s="653"/>
      <c r="L105" s="653"/>
      <c r="M105" s="653"/>
      <c r="N105" s="616"/>
    </row>
    <row r="106" spans="2:14" ht="17.25">
      <c r="B106" s="88"/>
      <c r="C106" s="88"/>
      <c r="D106" s="171"/>
      <c r="F106" s="653"/>
      <c r="H106" s="653"/>
      <c r="I106" s="610"/>
      <c r="J106" s="616"/>
      <c r="K106" s="653"/>
      <c r="L106" s="653"/>
      <c r="M106" s="653"/>
      <c r="N106" s="616"/>
    </row>
    <row r="107" spans="2:14" ht="17.25">
      <c r="B107" s="88"/>
      <c r="C107" s="88"/>
      <c r="D107" s="171"/>
      <c r="F107" s="653"/>
      <c r="H107" s="653"/>
      <c r="I107" s="610"/>
      <c r="J107" s="616"/>
      <c r="K107" s="653"/>
      <c r="L107" s="653"/>
      <c r="M107" s="653"/>
      <c r="N107" s="616"/>
    </row>
    <row r="108" spans="1:14" s="26" customFormat="1" ht="21">
      <c r="A108" s="25"/>
      <c r="B108" s="185"/>
      <c r="C108" s="185"/>
      <c r="D108" s="172"/>
      <c r="E108" s="25"/>
      <c r="F108" s="654"/>
      <c r="G108" s="25"/>
      <c r="H108" s="654"/>
      <c r="I108" s="25"/>
      <c r="J108" s="617"/>
      <c r="K108" s="654"/>
      <c r="L108" s="654"/>
      <c r="M108" s="654"/>
      <c r="N108" s="617"/>
    </row>
    <row r="109" spans="1:14" s="26" customFormat="1" ht="21">
      <c r="A109" s="25"/>
      <c r="B109" s="185"/>
      <c r="C109" s="185"/>
      <c r="D109" s="172"/>
      <c r="E109" s="25"/>
      <c r="F109" s="654"/>
      <c r="G109" s="25"/>
      <c r="H109" s="654"/>
      <c r="I109" s="25"/>
      <c r="J109" s="617"/>
      <c r="K109" s="654"/>
      <c r="L109" s="654"/>
      <c r="M109" s="654"/>
      <c r="N109" s="617"/>
    </row>
    <row r="110" spans="1:14" s="26" customFormat="1" ht="21">
      <c r="A110" s="25"/>
      <c r="B110" s="185"/>
      <c r="C110" s="185"/>
      <c r="D110" s="172"/>
      <c r="E110" s="25"/>
      <c r="F110" s="654"/>
      <c r="G110" s="25"/>
      <c r="H110" s="654"/>
      <c r="I110" s="25"/>
      <c r="J110" s="617"/>
      <c r="K110" s="654"/>
      <c r="L110" s="654"/>
      <c r="M110" s="654"/>
      <c r="N110" s="617"/>
    </row>
    <row r="111" spans="1:14" s="26" customFormat="1" ht="21">
      <c r="A111" s="25"/>
      <c r="B111" s="185"/>
      <c r="C111" s="185"/>
      <c r="D111" s="172"/>
      <c r="E111" s="25"/>
      <c r="F111" s="654"/>
      <c r="G111" s="25"/>
      <c r="H111" s="654"/>
      <c r="I111" s="25"/>
      <c r="J111" s="617"/>
      <c r="K111" s="654"/>
      <c r="L111" s="654"/>
      <c r="M111" s="654"/>
      <c r="N111" s="617"/>
    </row>
    <row r="112" spans="1:14" s="26" customFormat="1" ht="21">
      <c r="A112" s="25"/>
      <c r="B112" s="185"/>
      <c r="C112" s="185"/>
      <c r="D112" s="172"/>
      <c r="E112" s="25"/>
      <c r="F112" s="654"/>
      <c r="G112" s="25"/>
      <c r="H112" s="654"/>
      <c r="I112" s="25"/>
      <c r="J112" s="617"/>
      <c r="K112" s="654"/>
      <c r="L112" s="654"/>
      <c r="M112" s="654"/>
      <c r="N112" s="617"/>
    </row>
    <row r="113" spans="1:14" s="26" customFormat="1" ht="21">
      <c r="A113" s="25"/>
      <c r="B113" s="185"/>
      <c r="C113" s="185"/>
      <c r="D113" s="172"/>
      <c r="E113" s="25"/>
      <c r="F113" s="654"/>
      <c r="G113" s="25"/>
      <c r="H113" s="654"/>
      <c r="I113" s="25"/>
      <c r="J113" s="617"/>
      <c r="K113" s="654"/>
      <c r="L113" s="654"/>
      <c r="M113" s="654"/>
      <c r="N113" s="617"/>
    </row>
    <row r="114" spans="1:14" s="26" customFormat="1" ht="21">
      <c r="A114" s="25"/>
      <c r="B114" s="185"/>
      <c r="C114" s="185"/>
      <c r="D114" s="172"/>
      <c r="E114" s="25"/>
      <c r="F114" s="654"/>
      <c r="G114" s="25"/>
      <c r="H114" s="654"/>
      <c r="I114" s="25"/>
      <c r="J114" s="617"/>
      <c r="K114" s="654"/>
      <c r="L114" s="654"/>
      <c r="M114" s="654"/>
      <c r="N114" s="617"/>
    </row>
    <row r="115" spans="1:14" s="26" customFormat="1" ht="21">
      <c r="A115" s="25"/>
      <c r="B115" s="185"/>
      <c r="C115" s="185"/>
      <c r="D115" s="172"/>
      <c r="E115" s="25"/>
      <c r="F115" s="654"/>
      <c r="G115" s="25"/>
      <c r="H115" s="654"/>
      <c r="I115" s="25"/>
      <c r="J115" s="617"/>
      <c r="K115" s="654"/>
      <c r="L115" s="654"/>
      <c r="M115" s="654"/>
      <c r="N115" s="617"/>
    </row>
    <row r="116" spans="1:14" s="26" customFormat="1" ht="21">
      <c r="A116" s="25"/>
      <c r="B116" s="185"/>
      <c r="C116" s="185"/>
      <c r="D116" s="172"/>
      <c r="E116" s="25"/>
      <c r="F116" s="654"/>
      <c r="G116" s="25"/>
      <c r="H116" s="654"/>
      <c r="I116" s="25"/>
      <c r="J116" s="617"/>
      <c r="K116" s="654"/>
      <c r="L116" s="654"/>
      <c r="M116" s="654"/>
      <c r="N116" s="617"/>
    </row>
    <row r="117" spans="1:14" s="26" customFormat="1" ht="21">
      <c r="A117" s="25"/>
      <c r="B117" s="185"/>
      <c r="C117" s="185"/>
      <c r="D117" s="172"/>
      <c r="E117" s="25"/>
      <c r="F117" s="654"/>
      <c r="G117" s="25"/>
      <c r="H117" s="654"/>
      <c r="I117" s="25"/>
      <c r="J117" s="617"/>
      <c r="K117" s="654"/>
      <c r="L117" s="654"/>
      <c r="M117" s="654"/>
      <c r="N117" s="617"/>
    </row>
    <row r="118" spans="1:14" s="26" customFormat="1" ht="21">
      <c r="A118" s="25"/>
      <c r="B118" s="185"/>
      <c r="C118" s="185"/>
      <c r="D118" s="172"/>
      <c r="E118" s="25"/>
      <c r="F118" s="654"/>
      <c r="G118" s="25"/>
      <c r="H118" s="654"/>
      <c r="I118" s="25"/>
      <c r="J118" s="617"/>
      <c r="K118" s="654"/>
      <c r="L118" s="654"/>
      <c r="M118" s="654"/>
      <c r="N118" s="617"/>
    </row>
    <row r="119" spans="1:14" s="26" customFormat="1" ht="21">
      <c r="A119" s="25"/>
      <c r="B119" s="185"/>
      <c r="C119" s="185"/>
      <c r="D119" s="172"/>
      <c r="E119" s="25"/>
      <c r="F119" s="654"/>
      <c r="G119" s="25"/>
      <c r="H119" s="654"/>
      <c r="I119" s="25"/>
      <c r="J119" s="617"/>
      <c r="K119" s="654"/>
      <c r="L119" s="654"/>
      <c r="M119" s="654"/>
      <c r="N119" s="617"/>
    </row>
    <row r="120" spans="1:14" s="26" customFormat="1" ht="21">
      <c r="A120" s="25"/>
      <c r="B120" s="185"/>
      <c r="C120" s="185"/>
      <c r="D120" s="172"/>
      <c r="E120" s="25"/>
      <c r="F120" s="654"/>
      <c r="G120" s="25"/>
      <c r="H120" s="654"/>
      <c r="I120" s="25"/>
      <c r="J120" s="617"/>
      <c r="K120" s="654"/>
      <c r="L120" s="654"/>
      <c r="M120" s="654"/>
      <c r="N120" s="617"/>
    </row>
    <row r="121" spans="1:14" s="26" customFormat="1" ht="21">
      <c r="A121" s="25"/>
      <c r="B121" s="185"/>
      <c r="C121" s="185"/>
      <c r="D121" s="172"/>
      <c r="E121" s="25"/>
      <c r="F121" s="654"/>
      <c r="G121" s="25"/>
      <c r="H121" s="654"/>
      <c r="I121" s="25"/>
      <c r="J121" s="617"/>
      <c r="K121" s="654"/>
      <c r="L121" s="654"/>
      <c r="M121" s="654"/>
      <c r="N121" s="617"/>
    </row>
    <row r="122" spans="1:14" s="26" customFormat="1" ht="21">
      <c r="A122" s="25"/>
      <c r="B122" s="185"/>
      <c r="C122" s="185"/>
      <c r="D122" s="172"/>
      <c r="E122" s="25"/>
      <c r="F122" s="654"/>
      <c r="G122" s="25"/>
      <c r="H122" s="654"/>
      <c r="I122" s="25"/>
      <c r="J122" s="617"/>
      <c r="K122" s="654"/>
      <c r="L122" s="654"/>
      <c r="M122" s="654"/>
      <c r="N122" s="617"/>
    </row>
    <row r="123" spans="1:14" s="26" customFormat="1" ht="21">
      <c r="A123" s="25"/>
      <c r="B123" s="185"/>
      <c r="C123" s="185"/>
      <c r="D123" s="172"/>
      <c r="E123" s="25"/>
      <c r="F123" s="654"/>
      <c r="G123" s="25"/>
      <c r="H123" s="654"/>
      <c r="I123" s="25"/>
      <c r="J123" s="617"/>
      <c r="K123" s="654"/>
      <c r="L123" s="654"/>
      <c r="M123" s="654"/>
      <c r="N123" s="617"/>
    </row>
    <row r="124" spans="1:14" s="26" customFormat="1" ht="21">
      <c r="A124" s="25"/>
      <c r="B124" s="185"/>
      <c r="C124" s="185"/>
      <c r="D124" s="172"/>
      <c r="E124" s="25"/>
      <c r="F124" s="654"/>
      <c r="G124" s="25"/>
      <c r="H124" s="654"/>
      <c r="I124" s="25"/>
      <c r="J124" s="617"/>
      <c r="K124" s="654"/>
      <c r="L124" s="654"/>
      <c r="M124" s="654"/>
      <c r="N124" s="617"/>
    </row>
    <row r="125" spans="1:14" s="26" customFormat="1" ht="21">
      <c r="A125" s="25"/>
      <c r="B125" s="185"/>
      <c r="C125" s="185"/>
      <c r="D125" s="172"/>
      <c r="E125" s="25"/>
      <c r="F125" s="654"/>
      <c r="G125" s="25"/>
      <c r="H125" s="654"/>
      <c r="I125" s="25"/>
      <c r="J125" s="617"/>
      <c r="K125" s="654"/>
      <c r="L125" s="654"/>
      <c r="M125" s="654"/>
      <c r="N125" s="617"/>
    </row>
    <row r="126" spans="1:14" s="26" customFormat="1" ht="21">
      <c r="A126" s="25"/>
      <c r="B126" s="185"/>
      <c r="C126" s="185"/>
      <c r="D126" s="172"/>
      <c r="E126" s="25"/>
      <c r="F126" s="654"/>
      <c r="G126" s="25"/>
      <c r="H126" s="654"/>
      <c r="I126" s="25"/>
      <c r="J126" s="617"/>
      <c r="K126" s="654"/>
      <c r="L126" s="654"/>
      <c r="M126" s="654"/>
      <c r="N126" s="617"/>
    </row>
    <row r="127" spans="1:14" s="26" customFormat="1" ht="21">
      <c r="A127" s="25"/>
      <c r="B127" s="185"/>
      <c r="C127" s="185"/>
      <c r="D127" s="172"/>
      <c r="E127" s="25"/>
      <c r="F127" s="654"/>
      <c r="G127" s="25"/>
      <c r="H127" s="654"/>
      <c r="I127" s="25"/>
      <c r="J127" s="617"/>
      <c r="K127" s="654"/>
      <c r="L127" s="654"/>
      <c r="M127" s="654"/>
      <c r="N127" s="617"/>
    </row>
    <row r="128" spans="1:14" s="26" customFormat="1" ht="21">
      <c r="A128" s="25"/>
      <c r="B128" s="185"/>
      <c r="C128" s="185"/>
      <c r="D128" s="172"/>
      <c r="E128" s="25"/>
      <c r="F128" s="654"/>
      <c r="G128" s="25"/>
      <c r="H128" s="654"/>
      <c r="I128" s="25"/>
      <c r="J128" s="617"/>
      <c r="K128" s="654"/>
      <c r="L128" s="654"/>
      <c r="M128" s="654"/>
      <c r="N128" s="617"/>
    </row>
    <row r="129" spans="1:14" s="26" customFormat="1" ht="21">
      <c r="A129" s="25"/>
      <c r="B129" s="185"/>
      <c r="C129" s="185"/>
      <c r="D129" s="172"/>
      <c r="E129" s="25"/>
      <c r="F129" s="654"/>
      <c r="G129" s="25"/>
      <c r="H129" s="654"/>
      <c r="I129" s="25"/>
      <c r="J129" s="617"/>
      <c r="K129" s="654"/>
      <c r="L129" s="654"/>
      <c r="M129" s="654"/>
      <c r="N129" s="617"/>
    </row>
    <row r="130" spans="1:14" s="26" customFormat="1" ht="21">
      <c r="A130" s="25"/>
      <c r="B130" s="185"/>
      <c r="C130" s="185"/>
      <c r="D130" s="172"/>
      <c r="E130" s="25"/>
      <c r="F130" s="654"/>
      <c r="G130" s="25"/>
      <c r="H130" s="654"/>
      <c r="I130" s="25"/>
      <c r="J130" s="617"/>
      <c r="K130" s="654"/>
      <c r="L130" s="654"/>
      <c r="M130" s="654"/>
      <c r="N130" s="617"/>
    </row>
    <row r="131" spans="1:14" s="26" customFormat="1" ht="21">
      <c r="A131" s="25"/>
      <c r="B131" s="185"/>
      <c r="C131" s="185"/>
      <c r="D131" s="172"/>
      <c r="E131" s="25"/>
      <c r="F131" s="654"/>
      <c r="G131" s="25"/>
      <c r="H131" s="654"/>
      <c r="I131" s="25"/>
      <c r="J131" s="617"/>
      <c r="K131" s="654"/>
      <c r="L131" s="654"/>
      <c r="M131" s="654"/>
      <c r="N131" s="617"/>
    </row>
    <row r="132" spans="1:14" s="26" customFormat="1" ht="21">
      <c r="A132" s="25"/>
      <c r="B132" s="185"/>
      <c r="C132" s="185"/>
      <c r="D132" s="172"/>
      <c r="E132" s="25"/>
      <c r="F132" s="654"/>
      <c r="G132" s="25"/>
      <c r="H132" s="654"/>
      <c r="I132" s="25"/>
      <c r="J132" s="617"/>
      <c r="K132" s="654"/>
      <c r="L132" s="654"/>
      <c r="M132" s="654"/>
      <c r="N132" s="617"/>
    </row>
    <row r="133" spans="1:14" s="26" customFormat="1" ht="21">
      <c r="A133" s="25"/>
      <c r="B133" s="185"/>
      <c r="C133" s="185"/>
      <c r="D133" s="172"/>
      <c r="E133" s="25"/>
      <c r="F133" s="654"/>
      <c r="G133" s="25"/>
      <c r="H133" s="654"/>
      <c r="I133" s="25"/>
      <c r="J133" s="617"/>
      <c r="K133" s="654"/>
      <c r="L133" s="654"/>
      <c r="M133" s="654"/>
      <c r="N133" s="617"/>
    </row>
    <row r="134" spans="1:14" s="26" customFormat="1" ht="21">
      <c r="A134" s="25"/>
      <c r="B134" s="185"/>
      <c r="C134" s="185"/>
      <c r="D134" s="172"/>
      <c r="E134" s="25"/>
      <c r="F134" s="654"/>
      <c r="G134" s="25"/>
      <c r="H134" s="654"/>
      <c r="I134" s="25"/>
      <c r="J134" s="617"/>
      <c r="K134" s="654"/>
      <c r="L134" s="654"/>
      <c r="M134" s="654"/>
      <c r="N134" s="617"/>
    </row>
    <row r="135" spans="1:14" s="26" customFormat="1" ht="21">
      <c r="A135" s="25"/>
      <c r="B135" s="185"/>
      <c r="C135" s="185"/>
      <c r="D135" s="172"/>
      <c r="E135" s="25"/>
      <c r="F135" s="654"/>
      <c r="G135" s="25"/>
      <c r="H135" s="654"/>
      <c r="I135" s="25"/>
      <c r="J135" s="617"/>
      <c r="K135" s="654"/>
      <c r="L135" s="654"/>
      <c r="M135" s="654"/>
      <c r="N135" s="617"/>
    </row>
    <row r="136" spans="1:14" s="26" customFormat="1" ht="21">
      <c r="A136" s="25"/>
      <c r="B136" s="185"/>
      <c r="C136" s="185"/>
      <c r="D136" s="172"/>
      <c r="E136" s="25"/>
      <c r="F136" s="654"/>
      <c r="G136" s="25"/>
      <c r="H136" s="654"/>
      <c r="I136" s="25"/>
      <c r="J136" s="617"/>
      <c r="K136" s="654"/>
      <c r="L136" s="654"/>
      <c r="M136" s="654"/>
      <c r="N136" s="617"/>
    </row>
    <row r="137" spans="1:14" s="26" customFormat="1" ht="21">
      <c r="A137" s="25"/>
      <c r="B137" s="185"/>
      <c r="C137" s="185"/>
      <c r="D137" s="172"/>
      <c r="E137" s="25"/>
      <c r="F137" s="654"/>
      <c r="G137" s="25"/>
      <c r="H137" s="654"/>
      <c r="I137" s="25"/>
      <c r="J137" s="617"/>
      <c r="K137" s="654"/>
      <c r="L137" s="654"/>
      <c r="M137" s="654"/>
      <c r="N137" s="617"/>
    </row>
    <row r="138" spans="1:14" s="26" customFormat="1" ht="21">
      <c r="A138" s="25"/>
      <c r="B138" s="185"/>
      <c r="C138" s="185"/>
      <c r="D138" s="172"/>
      <c r="E138" s="25"/>
      <c r="F138" s="654"/>
      <c r="G138" s="25"/>
      <c r="H138" s="654"/>
      <c r="I138" s="25"/>
      <c r="J138" s="617"/>
      <c r="K138" s="654"/>
      <c r="L138" s="654"/>
      <c r="M138" s="654"/>
      <c r="N138" s="617"/>
    </row>
    <row r="139" spans="1:14" s="26" customFormat="1" ht="21">
      <c r="A139" s="25"/>
      <c r="B139" s="185"/>
      <c r="C139" s="185"/>
      <c r="D139" s="172"/>
      <c r="E139" s="25"/>
      <c r="F139" s="654"/>
      <c r="G139" s="25"/>
      <c r="H139" s="654"/>
      <c r="I139" s="25"/>
      <c r="J139" s="617"/>
      <c r="K139" s="654"/>
      <c r="L139" s="654"/>
      <c r="M139" s="654"/>
      <c r="N139" s="617"/>
    </row>
    <row r="140" spans="1:14" s="26" customFormat="1" ht="21">
      <c r="A140" s="25"/>
      <c r="B140" s="185"/>
      <c r="C140" s="185"/>
      <c r="D140" s="172"/>
      <c r="E140" s="25"/>
      <c r="F140" s="654"/>
      <c r="G140" s="25"/>
      <c r="H140" s="654"/>
      <c r="I140" s="25"/>
      <c r="J140" s="617"/>
      <c r="K140" s="654"/>
      <c r="L140" s="654"/>
      <c r="M140" s="654"/>
      <c r="N140" s="617"/>
    </row>
    <row r="141" spans="1:14" s="26" customFormat="1" ht="21">
      <c r="A141" s="25"/>
      <c r="B141" s="185"/>
      <c r="C141" s="185"/>
      <c r="D141" s="172"/>
      <c r="E141" s="25"/>
      <c r="F141" s="654"/>
      <c r="G141" s="25"/>
      <c r="H141" s="654"/>
      <c r="I141" s="25"/>
      <c r="J141" s="617"/>
      <c r="K141" s="654"/>
      <c r="L141" s="654"/>
      <c r="M141" s="654"/>
      <c r="N141" s="617"/>
    </row>
    <row r="142" spans="1:14" s="26" customFormat="1" ht="21">
      <c r="A142" s="25"/>
      <c r="B142" s="185"/>
      <c r="C142" s="185"/>
      <c r="D142" s="172"/>
      <c r="E142" s="25"/>
      <c r="F142" s="654"/>
      <c r="G142" s="25"/>
      <c r="H142" s="654"/>
      <c r="I142" s="25"/>
      <c r="J142" s="617"/>
      <c r="K142" s="654"/>
      <c r="L142" s="654"/>
      <c r="M142" s="654"/>
      <c r="N142" s="617"/>
    </row>
    <row r="143" spans="1:14" s="26" customFormat="1" ht="21">
      <c r="A143" s="25"/>
      <c r="B143" s="185"/>
      <c r="C143" s="185"/>
      <c r="D143" s="172"/>
      <c r="E143" s="25"/>
      <c r="F143" s="654"/>
      <c r="G143" s="25"/>
      <c r="H143" s="654"/>
      <c r="I143" s="25"/>
      <c r="J143" s="617"/>
      <c r="K143" s="654"/>
      <c r="L143" s="654"/>
      <c r="M143" s="654"/>
      <c r="N143" s="617"/>
    </row>
    <row r="144" spans="1:14" s="26" customFormat="1" ht="21">
      <c r="A144" s="25"/>
      <c r="B144" s="185"/>
      <c r="C144" s="185"/>
      <c r="D144" s="172"/>
      <c r="E144" s="25"/>
      <c r="F144" s="654"/>
      <c r="G144" s="25"/>
      <c r="H144" s="654"/>
      <c r="I144" s="25"/>
      <c r="J144" s="617"/>
      <c r="K144" s="654"/>
      <c r="L144" s="654"/>
      <c r="M144" s="654"/>
      <c r="N144" s="617"/>
    </row>
    <row r="145" spans="1:14" s="26" customFormat="1" ht="21">
      <c r="A145" s="25"/>
      <c r="B145" s="185"/>
      <c r="C145" s="185"/>
      <c r="D145" s="172"/>
      <c r="E145" s="25"/>
      <c r="F145" s="654"/>
      <c r="G145" s="25"/>
      <c r="H145" s="654"/>
      <c r="I145" s="25"/>
      <c r="J145" s="617"/>
      <c r="K145" s="654"/>
      <c r="L145" s="654"/>
      <c r="M145" s="654"/>
      <c r="N145" s="617"/>
    </row>
    <row r="146" spans="1:14" s="26" customFormat="1" ht="21">
      <c r="A146" s="25"/>
      <c r="B146" s="185"/>
      <c r="C146" s="185"/>
      <c r="D146" s="172"/>
      <c r="E146" s="25"/>
      <c r="F146" s="654"/>
      <c r="G146" s="25"/>
      <c r="H146" s="654"/>
      <c r="I146" s="25"/>
      <c r="J146" s="617"/>
      <c r="K146" s="654"/>
      <c r="L146" s="654"/>
      <c r="M146" s="654"/>
      <c r="N146" s="617"/>
    </row>
    <row r="147" spans="1:14" s="26" customFormat="1" ht="21">
      <c r="A147" s="25"/>
      <c r="B147" s="185"/>
      <c r="C147" s="185"/>
      <c r="D147" s="172"/>
      <c r="E147" s="25"/>
      <c r="F147" s="654"/>
      <c r="G147" s="25"/>
      <c r="H147" s="654"/>
      <c r="I147" s="25"/>
      <c r="J147" s="617"/>
      <c r="K147" s="654"/>
      <c r="L147" s="654"/>
      <c r="M147" s="654"/>
      <c r="N147" s="617"/>
    </row>
    <row r="148" spans="1:14" s="26" customFormat="1" ht="21">
      <c r="A148" s="25"/>
      <c r="B148" s="185"/>
      <c r="C148" s="185"/>
      <c r="D148" s="172"/>
      <c r="E148" s="25"/>
      <c r="F148" s="654"/>
      <c r="G148" s="25"/>
      <c r="H148" s="654"/>
      <c r="I148" s="25"/>
      <c r="J148" s="617"/>
      <c r="K148" s="654"/>
      <c r="L148" s="654"/>
      <c r="M148" s="654"/>
      <c r="N148" s="617"/>
    </row>
    <row r="149" spans="1:14" s="26" customFormat="1" ht="21">
      <c r="A149" s="25"/>
      <c r="B149" s="185"/>
      <c r="C149" s="185"/>
      <c r="D149" s="172"/>
      <c r="E149" s="25"/>
      <c r="F149" s="654"/>
      <c r="G149" s="25"/>
      <c r="H149" s="654"/>
      <c r="I149" s="25"/>
      <c r="J149" s="617"/>
      <c r="K149" s="654"/>
      <c r="L149" s="654"/>
      <c r="M149" s="654"/>
      <c r="N149" s="617"/>
    </row>
    <row r="150" spans="1:14" s="26" customFormat="1" ht="21">
      <c r="A150" s="25"/>
      <c r="B150" s="185"/>
      <c r="C150" s="185"/>
      <c r="D150" s="172"/>
      <c r="E150" s="25"/>
      <c r="F150" s="654"/>
      <c r="G150" s="25"/>
      <c r="H150" s="654"/>
      <c r="I150" s="25"/>
      <c r="J150" s="617"/>
      <c r="K150" s="654"/>
      <c r="L150" s="654"/>
      <c r="M150" s="654"/>
      <c r="N150" s="617"/>
    </row>
    <row r="151" spans="1:14" s="26" customFormat="1" ht="21">
      <c r="A151" s="25"/>
      <c r="B151" s="185"/>
      <c r="C151" s="185"/>
      <c r="D151" s="172"/>
      <c r="E151" s="25"/>
      <c r="F151" s="654"/>
      <c r="G151" s="25"/>
      <c r="H151" s="654"/>
      <c r="I151" s="25"/>
      <c r="J151" s="617"/>
      <c r="K151" s="654"/>
      <c r="L151" s="654"/>
      <c r="M151" s="654"/>
      <c r="N151" s="617"/>
    </row>
    <row r="152" spans="1:14" s="26" customFormat="1" ht="21">
      <c r="A152" s="25"/>
      <c r="B152" s="185"/>
      <c r="C152" s="185"/>
      <c r="D152" s="172"/>
      <c r="E152" s="25"/>
      <c r="F152" s="654"/>
      <c r="G152" s="25"/>
      <c r="H152" s="654"/>
      <c r="I152" s="25"/>
      <c r="J152" s="617"/>
      <c r="K152" s="654"/>
      <c r="L152" s="654"/>
      <c r="M152" s="654"/>
      <c r="N152" s="617"/>
    </row>
    <row r="153" spans="1:14" s="26" customFormat="1" ht="21">
      <c r="A153" s="25"/>
      <c r="B153" s="185"/>
      <c r="C153" s="185"/>
      <c r="D153" s="172"/>
      <c r="E153" s="25"/>
      <c r="F153" s="654"/>
      <c r="G153" s="25"/>
      <c r="H153" s="654"/>
      <c r="I153" s="25"/>
      <c r="J153" s="617"/>
      <c r="K153" s="654"/>
      <c r="L153" s="654"/>
      <c r="M153" s="654"/>
      <c r="N153" s="617"/>
    </row>
    <row r="154" spans="1:14" s="26" customFormat="1" ht="21">
      <c r="A154" s="25"/>
      <c r="B154" s="185"/>
      <c r="C154" s="185"/>
      <c r="D154" s="172"/>
      <c r="E154" s="25"/>
      <c r="F154" s="654"/>
      <c r="G154" s="25"/>
      <c r="H154" s="654"/>
      <c r="I154" s="25"/>
      <c r="J154" s="617"/>
      <c r="K154" s="654"/>
      <c r="L154" s="654"/>
      <c r="M154" s="654"/>
      <c r="N154" s="617"/>
    </row>
    <row r="155" spans="1:14" s="26" customFormat="1" ht="21">
      <c r="A155" s="25"/>
      <c r="B155" s="185"/>
      <c r="C155" s="185"/>
      <c r="D155" s="172"/>
      <c r="E155" s="25"/>
      <c r="F155" s="654"/>
      <c r="G155" s="25"/>
      <c r="H155" s="654"/>
      <c r="I155" s="25"/>
      <c r="J155" s="617"/>
      <c r="K155" s="654"/>
      <c r="L155" s="654"/>
      <c r="M155" s="654"/>
      <c r="N155" s="617"/>
    </row>
    <row r="156" spans="1:14" s="26" customFormat="1" ht="21">
      <c r="A156" s="25"/>
      <c r="B156" s="185"/>
      <c r="C156" s="185"/>
      <c r="D156" s="172"/>
      <c r="E156" s="25"/>
      <c r="F156" s="654"/>
      <c r="G156" s="25"/>
      <c r="H156" s="654"/>
      <c r="I156" s="25"/>
      <c r="J156" s="617"/>
      <c r="K156" s="654"/>
      <c r="L156" s="654"/>
      <c r="M156" s="654"/>
      <c r="N156" s="617"/>
    </row>
    <row r="157" spans="1:14" s="26" customFormat="1" ht="21">
      <c r="A157" s="25"/>
      <c r="B157" s="185"/>
      <c r="C157" s="185"/>
      <c r="D157" s="172"/>
      <c r="E157" s="25"/>
      <c r="F157" s="654"/>
      <c r="G157" s="25"/>
      <c r="H157" s="654"/>
      <c r="I157" s="25"/>
      <c r="J157" s="617"/>
      <c r="K157" s="654"/>
      <c r="L157" s="654"/>
      <c r="M157" s="654"/>
      <c r="N157" s="617"/>
    </row>
    <row r="158" spans="1:14" s="26" customFormat="1" ht="21">
      <c r="A158" s="25"/>
      <c r="B158" s="185"/>
      <c r="C158" s="185"/>
      <c r="D158" s="172"/>
      <c r="E158" s="25"/>
      <c r="F158" s="654"/>
      <c r="G158" s="25"/>
      <c r="H158" s="654"/>
      <c r="I158" s="25"/>
      <c r="J158" s="617"/>
      <c r="K158" s="654"/>
      <c r="L158" s="654"/>
      <c r="M158" s="654"/>
      <c r="N158" s="617"/>
    </row>
    <row r="159" spans="1:14" s="26" customFormat="1" ht="21">
      <c r="A159" s="25"/>
      <c r="B159" s="185"/>
      <c r="C159" s="185"/>
      <c r="D159" s="172"/>
      <c r="E159" s="25"/>
      <c r="F159" s="654"/>
      <c r="G159" s="25"/>
      <c r="H159" s="654"/>
      <c r="I159" s="25"/>
      <c r="J159" s="617"/>
      <c r="K159" s="654"/>
      <c r="L159" s="654"/>
      <c r="M159" s="654"/>
      <c r="N159" s="617"/>
    </row>
    <row r="160" spans="1:14" s="26" customFormat="1" ht="21">
      <c r="A160" s="25"/>
      <c r="B160" s="185"/>
      <c r="C160" s="185"/>
      <c r="D160" s="172"/>
      <c r="E160" s="25"/>
      <c r="F160" s="654"/>
      <c r="G160" s="25"/>
      <c r="H160" s="654"/>
      <c r="I160" s="25"/>
      <c r="J160" s="617"/>
      <c r="K160" s="654"/>
      <c r="L160" s="654"/>
      <c r="M160" s="654"/>
      <c r="N160" s="617"/>
    </row>
    <row r="161" spans="1:14" s="26" customFormat="1" ht="21">
      <c r="A161" s="25"/>
      <c r="B161" s="185"/>
      <c r="C161" s="185"/>
      <c r="D161" s="172"/>
      <c r="E161" s="25"/>
      <c r="F161" s="654"/>
      <c r="G161" s="25"/>
      <c r="H161" s="654"/>
      <c r="I161" s="25"/>
      <c r="J161" s="617"/>
      <c r="K161" s="654"/>
      <c r="L161" s="654"/>
      <c r="M161" s="654"/>
      <c r="N161" s="617"/>
    </row>
    <row r="162" spans="1:14" s="26" customFormat="1" ht="21">
      <c r="A162" s="25"/>
      <c r="B162" s="185"/>
      <c r="C162" s="185"/>
      <c r="D162" s="172"/>
      <c r="E162" s="25"/>
      <c r="F162" s="654"/>
      <c r="G162" s="25"/>
      <c r="H162" s="654"/>
      <c r="I162" s="25"/>
      <c r="J162" s="617"/>
      <c r="K162" s="654"/>
      <c r="L162" s="654"/>
      <c r="M162" s="654"/>
      <c r="N162" s="617"/>
    </row>
    <row r="163" spans="1:14" s="26" customFormat="1" ht="21">
      <c r="A163" s="25"/>
      <c r="B163" s="185"/>
      <c r="C163" s="185"/>
      <c r="D163" s="172"/>
      <c r="E163" s="25"/>
      <c r="F163" s="654"/>
      <c r="G163" s="25"/>
      <c r="H163" s="654"/>
      <c r="I163" s="25"/>
      <c r="J163" s="617"/>
      <c r="K163" s="654"/>
      <c r="L163" s="654"/>
      <c r="M163" s="654"/>
      <c r="N163" s="617"/>
    </row>
    <row r="164" spans="1:14" s="26" customFormat="1" ht="21">
      <c r="A164" s="25"/>
      <c r="B164" s="185"/>
      <c r="C164" s="185"/>
      <c r="D164" s="172"/>
      <c r="E164" s="25"/>
      <c r="F164" s="654"/>
      <c r="G164" s="25"/>
      <c r="H164" s="654"/>
      <c r="I164" s="25"/>
      <c r="J164" s="617"/>
      <c r="K164" s="654"/>
      <c r="L164" s="654"/>
      <c r="M164" s="654"/>
      <c r="N164" s="617"/>
    </row>
    <row r="165" spans="1:14" s="26" customFormat="1" ht="21">
      <c r="A165" s="25"/>
      <c r="B165" s="185"/>
      <c r="C165" s="185"/>
      <c r="D165" s="172"/>
      <c r="E165" s="25"/>
      <c r="F165" s="654"/>
      <c r="G165" s="25"/>
      <c r="H165" s="654"/>
      <c r="I165" s="25"/>
      <c r="J165" s="617"/>
      <c r="K165" s="654"/>
      <c r="L165" s="654"/>
      <c r="M165" s="654"/>
      <c r="N165" s="617"/>
    </row>
    <row r="166" spans="1:14" s="26" customFormat="1" ht="21">
      <c r="A166" s="25"/>
      <c r="B166" s="185"/>
      <c r="C166" s="185"/>
      <c r="D166" s="172"/>
      <c r="E166" s="25"/>
      <c r="F166" s="654"/>
      <c r="G166" s="25"/>
      <c r="H166" s="654"/>
      <c r="I166" s="25"/>
      <c r="J166" s="617"/>
      <c r="K166" s="654"/>
      <c r="L166" s="654"/>
      <c r="M166" s="654"/>
      <c r="N166" s="617"/>
    </row>
    <row r="167" spans="1:14" s="26" customFormat="1" ht="21">
      <c r="A167" s="25"/>
      <c r="B167" s="185"/>
      <c r="C167" s="185"/>
      <c r="D167" s="172"/>
      <c r="E167" s="25"/>
      <c r="F167" s="654"/>
      <c r="G167" s="25"/>
      <c r="H167" s="654"/>
      <c r="I167" s="25"/>
      <c r="J167" s="617"/>
      <c r="K167" s="654"/>
      <c r="L167" s="654"/>
      <c r="M167" s="654"/>
      <c r="N167" s="617"/>
    </row>
    <row r="168" spans="1:14" s="26" customFormat="1" ht="21">
      <c r="A168" s="25"/>
      <c r="B168" s="185"/>
      <c r="C168" s="185"/>
      <c r="D168" s="172"/>
      <c r="E168" s="25"/>
      <c r="F168" s="654"/>
      <c r="G168" s="25"/>
      <c r="H168" s="654"/>
      <c r="I168" s="25"/>
      <c r="J168" s="617"/>
      <c r="K168" s="654"/>
      <c r="L168" s="654"/>
      <c r="M168" s="654"/>
      <c r="N168" s="617"/>
    </row>
    <row r="169" spans="1:14" s="26" customFormat="1" ht="21">
      <c r="A169" s="25"/>
      <c r="B169" s="185"/>
      <c r="C169" s="185"/>
      <c r="D169" s="172"/>
      <c r="E169" s="25"/>
      <c r="F169" s="654"/>
      <c r="G169" s="25"/>
      <c r="H169" s="654"/>
      <c r="I169" s="25"/>
      <c r="J169" s="617"/>
      <c r="K169" s="654"/>
      <c r="L169" s="654"/>
      <c r="M169" s="654"/>
      <c r="N169" s="617"/>
    </row>
    <row r="170" spans="1:14" s="26" customFormat="1" ht="21">
      <c r="A170" s="25"/>
      <c r="B170" s="185"/>
      <c r="C170" s="185"/>
      <c r="D170" s="172"/>
      <c r="E170" s="25"/>
      <c r="F170" s="654"/>
      <c r="G170" s="25"/>
      <c r="H170" s="654"/>
      <c r="I170" s="25"/>
      <c r="J170" s="617"/>
      <c r="K170" s="654"/>
      <c r="L170" s="654"/>
      <c r="M170" s="654"/>
      <c r="N170" s="617"/>
    </row>
    <row r="171" spans="1:14" s="26" customFormat="1" ht="21">
      <c r="A171" s="25"/>
      <c r="B171" s="185"/>
      <c r="C171" s="185"/>
      <c r="D171" s="172"/>
      <c r="E171" s="25"/>
      <c r="F171" s="654"/>
      <c r="G171" s="25"/>
      <c r="H171" s="654"/>
      <c r="I171" s="25"/>
      <c r="J171" s="617"/>
      <c r="K171" s="654"/>
      <c r="L171" s="654"/>
      <c r="M171" s="654"/>
      <c r="N171" s="617"/>
    </row>
    <row r="172" spans="1:14" s="26" customFormat="1" ht="21">
      <c r="A172" s="25"/>
      <c r="B172" s="185"/>
      <c r="C172" s="185"/>
      <c r="D172" s="172"/>
      <c r="E172" s="25"/>
      <c r="F172" s="654"/>
      <c r="G172" s="25"/>
      <c r="H172" s="654"/>
      <c r="I172" s="25"/>
      <c r="J172" s="617"/>
      <c r="K172" s="654"/>
      <c r="L172" s="654"/>
      <c r="M172" s="654"/>
      <c r="N172" s="617"/>
    </row>
    <row r="173" spans="1:14" s="26" customFormat="1" ht="21">
      <c r="A173" s="25"/>
      <c r="B173" s="185"/>
      <c r="C173" s="185"/>
      <c r="D173" s="172"/>
      <c r="E173" s="25"/>
      <c r="F173" s="654"/>
      <c r="G173" s="25"/>
      <c r="H173" s="654"/>
      <c r="I173" s="25"/>
      <c r="J173" s="617"/>
      <c r="K173" s="654"/>
      <c r="L173" s="654"/>
      <c r="M173" s="654"/>
      <c r="N173" s="617"/>
    </row>
    <row r="174" spans="1:14" s="26" customFormat="1" ht="21">
      <c r="A174" s="25"/>
      <c r="B174" s="185"/>
      <c r="C174" s="185"/>
      <c r="D174" s="172"/>
      <c r="E174" s="25"/>
      <c r="F174" s="654"/>
      <c r="G174" s="25"/>
      <c r="H174" s="654"/>
      <c r="I174" s="25"/>
      <c r="J174" s="617"/>
      <c r="K174" s="654"/>
      <c r="L174" s="654"/>
      <c r="M174" s="654"/>
      <c r="N174" s="617"/>
    </row>
    <row r="175" spans="1:14" s="26" customFormat="1" ht="21">
      <c r="A175" s="25"/>
      <c r="B175" s="185"/>
      <c r="C175" s="185"/>
      <c r="D175" s="172"/>
      <c r="E175" s="25"/>
      <c r="F175" s="654"/>
      <c r="G175" s="25"/>
      <c r="H175" s="654"/>
      <c r="I175" s="25"/>
      <c r="J175" s="617"/>
      <c r="K175" s="654"/>
      <c r="L175" s="654"/>
      <c r="M175" s="654"/>
      <c r="N175" s="617"/>
    </row>
    <row r="176" spans="1:14" s="26" customFormat="1" ht="21">
      <c r="A176" s="25"/>
      <c r="B176" s="185"/>
      <c r="C176" s="185"/>
      <c r="D176" s="172"/>
      <c r="E176" s="25"/>
      <c r="F176" s="654"/>
      <c r="G176" s="25"/>
      <c r="H176" s="654"/>
      <c r="I176" s="25"/>
      <c r="J176" s="617"/>
      <c r="K176" s="654"/>
      <c r="L176" s="654"/>
      <c r="M176" s="654"/>
      <c r="N176" s="617"/>
    </row>
    <row r="177" spans="1:14" s="26" customFormat="1" ht="21">
      <c r="A177" s="25"/>
      <c r="B177" s="185"/>
      <c r="C177" s="185"/>
      <c r="D177" s="172"/>
      <c r="E177" s="25"/>
      <c r="F177" s="654"/>
      <c r="G177" s="25"/>
      <c r="H177" s="654"/>
      <c r="I177" s="25"/>
      <c r="J177" s="617"/>
      <c r="K177" s="654"/>
      <c r="L177" s="654"/>
      <c r="M177" s="654"/>
      <c r="N177" s="617"/>
    </row>
    <row r="178" spans="1:14" s="26" customFormat="1" ht="21">
      <c r="A178" s="25"/>
      <c r="B178" s="185"/>
      <c r="C178" s="185"/>
      <c r="D178" s="172"/>
      <c r="E178" s="25"/>
      <c r="F178" s="654"/>
      <c r="G178" s="25"/>
      <c r="H178" s="654"/>
      <c r="I178" s="25"/>
      <c r="J178" s="617"/>
      <c r="K178" s="654"/>
      <c r="L178" s="654"/>
      <c r="M178" s="654"/>
      <c r="N178" s="617"/>
    </row>
    <row r="179" spans="1:14" s="26" customFormat="1" ht="21">
      <c r="A179" s="25"/>
      <c r="B179" s="185"/>
      <c r="C179" s="185"/>
      <c r="D179" s="172"/>
      <c r="E179" s="25"/>
      <c r="F179" s="654"/>
      <c r="G179" s="25"/>
      <c r="H179" s="654"/>
      <c r="I179" s="25"/>
      <c r="J179" s="617"/>
      <c r="K179" s="654"/>
      <c r="L179" s="654"/>
      <c r="M179" s="654"/>
      <c r="N179" s="617"/>
    </row>
    <row r="180" spans="1:14" s="26" customFormat="1" ht="21">
      <c r="A180" s="25"/>
      <c r="B180" s="185"/>
      <c r="C180" s="185"/>
      <c r="D180" s="172"/>
      <c r="E180" s="25"/>
      <c r="F180" s="654"/>
      <c r="G180" s="25"/>
      <c r="H180" s="654"/>
      <c r="I180" s="25"/>
      <c r="J180" s="617"/>
      <c r="K180" s="654"/>
      <c r="L180" s="654"/>
      <c r="M180" s="654"/>
      <c r="N180" s="617"/>
    </row>
    <row r="181" spans="1:14" s="26" customFormat="1" ht="21">
      <c r="A181" s="25"/>
      <c r="B181" s="185"/>
      <c r="C181" s="185"/>
      <c r="D181" s="172"/>
      <c r="E181" s="25"/>
      <c r="F181" s="654"/>
      <c r="G181" s="25"/>
      <c r="H181" s="654"/>
      <c r="I181" s="25"/>
      <c r="J181" s="617"/>
      <c r="K181" s="654"/>
      <c r="L181" s="654"/>
      <c r="M181" s="654"/>
      <c r="N181" s="617"/>
    </row>
    <row r="182" spans="1:14" s="26" customFormat="1" ht="21.75">
      <c r="A182" s="106"/>
      <c r="B182" s="186"/>
      <c r="C182" s="186"/>
      <c r="D182" s="173"/>
      <c r="E182" s="106"/>
      <c r="F182" s="643"/>
      <c r="G182" s="106"/>
      <c r="H182" s="643"/>
      <c r="I182" s="25"/>
      <c r="J182" s="617"/>
      <c r="K182" s="654"/>
      <c r="L182" s="654"/>
      <c r="M182" s="654"/>
      <c r="N182" s="617"/>
    </row>
    <row r="183" spans="1:14" s="26" customFormat="1" ht="21.75">
      <c r="A183" s="106"/>
      <c r="B183" s="186"/>
      <c r="C183" s="186"/>
      <c r="D183" s="173"/>
      <c r="E183" s="106"/>
      <c r="F183" s="643"/>
      <c r="G183" s="106"/>
      <c r="H183" s="643"/>
      <c r="I183" s="25"/>
      <c r="J183" s="617"/>
      <c r="K183" s="654"/>
      <c r="L183" s="654"/>
      <c r="M183" s="654"/>
      <c r="N183" s="617"/>
    </row>
    <row r="184" spans="1:14" s="26" customFormat="1" ht="21.75">
      <c r="A184" s="106"/>
      <c r="B184" s="186"/>
      <c r="C184" s="186"/>
      <c r="D184" s="173"/>
      <c r="E184" s="106"/>
      <c r="F184" s="643"/>
      <c r="G184" s="106"/>
      <c r="H184" s="643"/>
      <c r="I184" s="25"/>
      <c r="J184" s="617"/>
      <c r="K184" s="654"/>
      <c r="L184" s="654"/>
      <c r="M184" s="654"/>
      <c r="N184" s="617"/>
    </row>
    <row r="185" spans="1:14" s="26" customFormat="1" ht="21.75">
      <c r="A185" s="106"/>
      <c r="B185" s="186"/>
      <c r="C185" s="186"/>
      <c r="D185" s="173"/>
      <c r="E185" s="106"/>
      <c r="F185" s="643"/>
      <c r="G185" s="106"/>
      <c r="H185" s="643"/>
      <c r="I185" s="25"/>
      <c r="J185" s="617"/>
      <c r="K185" s="654"/>
      <c r="L185" s="654"/>
      <c r="M185" s="654"/>
      <c r="N185" s="617"/>
    </row>
    <row r="186" spans="1:14" s="26" customFormat="1" ht="21.75">
      <c r="A186" s="106"/>
      <c r="B186" s="186"/>
      <c r="C186" s="186"/>
      <c r="D186" s="173"/>
      <c r="E186" s="106"/>
      <c r="F186" s="643"/>
      <c r="G186" s="106"/>
      <c r="H186" s="643"/>
      <c r="I186" s="25"/>
      <c r="J186" s="617"/>
      <c r="K186" s="654"/>
      <c r="L186" s="654"/>
      <c r="M186" s="654"/>
      <c r="N186" s="617"/>
    </row>
    <row r="187" spans="1:14" s="26" customFormat="1" ht="21.75">
      <c r="A187" s="106"/>
      <c r="B187" s="186"/>
      <c r="C187" s="186"/>
      <c r="D187" s="173"/>
      <c r="E187" s="106"/>
      <c r="F187" s="643"/>
      <c r="G187" s="106"/>
      <c r="H187" s="643"/>
      <c r="I187" s="25"/>
      <c r="J187" s="617"/>
      <c r="K187" s="654"/>
      <c r="L187" s="654"/>
      <c r="M187" s="654"/>
      <c r="N187" s="617"/>
    </row>
    <row r="188" spans="1:14" s="26" customFormat="1" ht="21.75">
      <c r="A188" s="106"/>
      <c r="B188" s="186"/>
      <c r="C188" s="186"/>
      <c r="D188" s="173"/>
      <c r="E188" s="106"/>
      <c r="F188" s="643"/>
      <c r="G188" s="106"/>
      <c r="H188" s="643"/>
      <c r="I188" s="25"/>
      <c r="J188" s="617"/>
      <c r="K188" s="654"/>
      <c r="L188" s="654"/>
      <c r="M188" s="654"/>
      <c r="N188" s="617"/>
    </row>
    <row r="189" spans="1:14" s="26" customFormat="1" ht="21.75">
      <c r="A189" s="106"/>
      <c r="B189" s="186"/>
      <c r="C189" s="186"/>
      <c r="D189" s="173"/>
      <c r="E189" s="106"/>
      <c r="F189" s="643"/>
      <c r="G189" s="106"/>
      <c r="H189" s="643"/>
      <c r="I189" s="25"/>
      <c r="J189" s="617"/>
      <c r="K189" s="654"/>
      <c r="L189" s="654"/>
      <c r="M189" s="654"/>
      <c r="N189" s="617"/>
    </row>
    <row r="190" spans="1:14" s="26" customFormat="1" ht="21.75">
      <c r="A190" s="106"/>
      <c r="B190" s="186"/>
      <c r="C190" s="186"/>
      <c r="D190" s="173"/>
      <c r="E190" s="106"/>
      <c r="F190" s="643"/>
      <c r="G190" s="106"/>
      <c r="H190" s="643"/>
      <c r="I190" s="25"/>
      <c r="J190" s="617"/>
      <c r="K190" s="654"/>
      <c r="L190" s="654"/>
      <c r="M190" s="654"/>
      <c r="N190" s="617"/>
    </row>
    <row r="191" spans="1:14" s="26" customFormat="1" ht="21.75">
      <c r="A191" s="106"/>
      <c r="B191" s="186"/>
      <c r="C191" s="186"/>
      <c r="D191" s="173"/>
      <c r="E191" s="106"/>
      <c r="F191" s="643"/>
      <c r="G191" s="106"/>
      <c r="H191" s="643"/>
      <c r="I191" s="25"/>
      <c r="J191" s="617"/>
      <c r="K191" s="654"/>
      <c r="L191" s="654"/>
      <c r="M191" s="654"/>
      <c r="N191" s="617"/>
    </row>
    <row r="192" spans="1:14" s="26" customFormat="1" ht="21.75">
      <c r="A192" s="106"/>
      <c r="B192" s="186"/>
      <c r="C192" s="186"/>
      <c r="D192" s="173"/>
      <c r="E192" s="106"/>
      <c r="F192" s="643"/>
      <c r="G192" s="106"/>
      <c r="H192" s="643"/>
      <c r="I192" s="25"/>
      <c r="J192" s="617"/>
      <c r="K192" s="654"/>
      <c r="L192" s="654"/>
      <c r="M192" s="654"/>
      <c r="N192" s="617"/>
    </row>
    <row r="193" spans="1:14" s="26" customFormat="1" ht="21.75">
      <c r="A193" s="106"/>
      <c r="B193" s="186"/>
      <c r="C193" s="186"/>
      <c r="D193" s="173"/>
      <c r="E193" s="106"/>
      <c r="F193" s="643"/>
      <c r="G193" s="106"/>
      <c r="H193" s="643"/>
      <c r="I193" s="25"/>
      <c r="J193" s="617"/>
      <c r="K193" s="654"/>
      <c r="L193" s="654"/>
      <c r="M193" s="654"/>
      <c r="N193" s="617"/>
    </row>
    <row r="194" spans="1:14" s="26" customFormat="1" ht="21.75">
      <c r="A194" s="106"/>
      <c r="B194" s="186"/>
      <c r="C194" s="186"/>
      <c r="D194" s="173"/>
      <c r="E194" s="106"/>
      <c r="F194" s="643"/>
      <c r="G194" s="106"/>
      <c r="H194" s="643"/>
      <c r="I194" s="25"/>
      <c r="J194" s="617"/>
      <c r="K194" s="654"/>
      <c r="L194" s="654"/>
      <c r="M194" s="654"/>
      <c r="N194" s="617"/>
    </row>
    <row r="195" spans="1:14" s="26" customFormat="1" ht="21.75">
      <c r="A195" s="106"/>
      <c r="B195" s="186"/>
      <c r="C195" s="186"/>
      <c r="D195" s="173"/>
      <c r="E195" s="106"/>
      <c r="F195" s="643"/>
      <c r="G195" s="106"/>
      <c r="H195" s="643"/>
      <c r="I195" s="25"/>
      <c r="J195" s="617"/>
      <c r="K195" s="654"/>
      <c r="L195" s="654"/>
      <c r="M195" s="654"/>
      <c r="N195" s="617"/>
    </row>
    <row r="196" spans="1:14" s="26" customFormat="1" ht="21.75">
      <c r="A196" s="106"/>
      <c r="B196" s="186"/>
      <c r="C196" s="186"/>
      <c r="D196" s="173"/>
      <c r="E196" s="106"/>
      <c r="F196" s="643"/>
      <c r="G196" s="106"/>
      <c r="H196" s="643"/>
      <c r="I196" s="25"/>
      <c r="J196" s="617"/>
      <c r="K196" s="654"/>
      <c r="L196" s="654"/>
      <c r="M196" s="654"/>
      <c r="N196" s="617"/>
    </row>
    <row r="197" spans="1:14" s="26" customFormat="1" ht="21.75">
      <c r="A197" s="106"/>
      <c r="B197" s="186"/>
      <c r="C197" s="186"/>
      <c r="D197" s="173"/>
      <c r="E197" s="106"/>
      <c r="F197" s="643"/>
      <c r="G197" s="106"/>
      <c r="H197" s="643"/>
      <c r="I197" s="25"/>
      <c r="J197" s="617"/>
      <c r="K197" s="654"/>
      <c r="L197" s="654"/>
      <c r="M197" s="654"/>
      <c r="N197" s="617"/>
    </row>
    <row r="198" spans="1:14" s="26" customFormat="1" ht="21.75">
      <c r="A198" s="106"/>
      <c r="B198" s="186"/>
      <c r="C198" s="186"/>
      <c r="D198" s="173"/>
      <c r="E198" s="106"/>
      <c r="F198" s="643"/>
      <c r="G198" s="106"/>
      <c r="H198" s="643"/>
      <c r="I198" s="25"/>
      <c r="J198" s="617"/>
      <c r="K198" s="654"/>
      <c r="L198" s="654"/>
      <c r="M198" s="654"/>
      <c r="N198" s="617"/>
    </row>
    <row r="199" spans="1:14" s="26" customFormat="1" ht="21.75">
      <c r="A199" s="106"/>
      <c r="B199" s="186"/>
      <c r="C199" s="186"/>
      <c r="D199" s="173"/>
      <c r="E199" s="106"/>
      <c r="F199" s="643"/>
      <c r="G199" s="106"/>
      <c r="H199" s="643"/>
      <c r="I199" s="25"/>
      <c r="J199" s="617"/>
      <c r="K199" s="654"/>
      <c r="L199" s="654"/>
      <c r="M199" s="654"/>
      <c r="N199" s="617"/>
    </row>
    <row r="200" spans="1:14" s="26" customFormat="1" ht="21.75">
      <c r="A200" s="106"/>
      <c r="B200" s="186"/>
      <c r="C200" s="186"/>
      <c r="D200" s="173"/>
      <c r="E200" s="106"/>
      <c r="F200" s="643"/>
      <c r="G200" s="106"/>
      <c r="H200" s="643"/>
      <c r="I200" s="25"/>
      <c r="J200" s="617"/>
      <c r="K200" s="654"/>
      <c r="L200" s="654"/>
      <c r="M200" s="654"/>
      <c r="N200" s="617"/>
    </row>
    <row r="201" spans="1:14" s="26" customFormat="1" ht="21.75">
      <c r="A201" s="106"/>
      <c r="B201" s="186"/>
      <c r="C201" s="186"/>
      <c r="D201" s="173"/>
      <c r="E201" s="106"/>
      <c r="F201" s="643"/>
      <c r="G201" s="106"/>
      <c r="H201" s="643"/>
      <c r="I201" s="25"/>
      <c r="J201" s="617"/>
      <c r="K201" s="654"/>
      <c r="L201" s="654"/>
      <c r="M201" s="654"/>
      <c r="N201" s="617"/>
    </row>
    <row r="202" spans="1:14" s="26" customFormat="1" ht="21.75">
      <c r="A202" s="106"/>
      <c r="B202" s="186"/>
      <c r="C202" s="186"/>
      <c r="D202" s="173"/>
      <c r="E202" s="106"/>
      <c r="F202" s="643"/>
      <c r="G202" s="106"/>
      <c r="H202" s="643"/>
      <c r="I202" s="25"/>
      <c r="J202" s="617"/>
      <c r="K202" s="654"/>
      <c r="L202" s="654"/>
      <c r="M202" s="654"/>
      <c r="N202" s="617"/>
    </row>
    <row r="203" spans="1:14" s="26" customFormat="1" ht="21.75">
      <c r="A203" s="106"/>
      <c r="B203" s="186"/>
      <c r="C203" s="186"/>
      <c r="D203" s="173"/>
      <c r="E203" s="106"/>
      <c r="F203" s="643"/>
      <c r="G203" s="106"/>
      <c r="H203" s="643"/>
      <c r="I203" s="25"/>
      <c r="J203" s="617"/>
      <c r="K203" s="654"/>
      <c r="L203" s="654"/>
      <c r="M203" s="654"/>
      <c r="N203" s="617"/>
    </row>
    <row r="204" spans="1:14" s="26" customFormat="1" ht="21.75">
      <c r="A204" s="106"/>
      <c r="B204" s="186"/>
      <c r="C204" s="186"/>
      <c r="D204" s="173"/>
      <c r="E204" s="106"/>
      <c r="F204" s="643"/>
      <c r="G204" s="106"/>
      <c r="H204" s="643"/>
      <c r="I204" s="25"/>
      <c r="J204" s="617"/>
      <c r="K204" s="654"/>
      <c r="L204" s="654"/>
      <c r="M204" s="654"/>
      <c r="N204" s="617"/>
    </row>
    <row r="205" spans="1:14" s="26" customFormat="1" ht="21.75">
      <c r="A205" s="106"/>
      <c r="B205" s="186"/>
      <c r="C205" s="186"/>
      <c r="D205" s="173"/>
      <c r="E205" s="106"/>
      <c r="F205" s="643"/>
      <c r="G205" s="106"/>
      <c r="H205" s="643"/>
      <c r="I205" s="25"/>
      <c r="J205" s="617"/>
      <c r="K205" s="654"/>
      <c r="L205" s="654"/>
      <c r="M205" s="654"/>
      <c r="N205" s="617"/>
    </row>
    <row r="206" spans="1:14" s="26" customFormat="1" ht="21.75">
      <c r="A206" s="106"/>
      <c r="B206" s="186"/>
      <c r="C206" s="186"/>
      <c r="D206" s="173"/>
      <c r="E206" s="106"/>
      <c r="F206" s="643"/>
      <c r="G206" s="106"/>
      <c r="H206" s="643"/>
      <c r="I206" s="25"/>
      <c r="J206" s="617"/>
      <c r="K206" s="654"/>
      <c r="L206" s="654"/>
      <c r="M206" s="654"/>
      <c r="N206" s="617"/>
    </row>
    <row r="207" spans="1:14" s="26" customFormat="1" ht="21.75">
      <c r="A207" s="106"/>
      <c r="B207" s="186"/>
      <c r="C207" s="186"/>
      <c r="D207" s="173"/>
      <c r="E207" s="106"/>
      <c r="F207" s="643"/>
      <c r="G207" s="106"/>
      <c r="H207" s="643"/>
      <c r="I207" s="25"/>
      <c r="J207" s="617"/>
      <c r="K207" s="654"/>
      <c r="L207" s="654"/>
      <c r="M207" s="654"/>
      <c r="N207" s="617"/>
    </row>
    <row r="208" spans="1:14" s="26" customFormat="1" ht="21.75">
      <c r="A208" s="106"/>
      <c r="B208" s="186"/>
      <c r="C208" s="186"/>
      <c r="D208" s="173"/>
      <c r="E208" s="106"/>
      <c r="F208" s="643"/>
      <c r="G208" s="106"/>
      <c r="H208" s="643"/>
      <c r="I208" s="25"/>
      <c r="J208" s="617"/>
      <c r="K208" s="654"/>
      <c r="L208" s="654"/>
      <c r="M208" s="654"/>
      <c r="N208" s="617"/>
    </row>
    <row r="209" spans="1:14" s="26" customFormat="1" ht="21.75">
      <c r="A209" s="106"/>
      <c r="B209" s="186"/>
      <c r="C209" s="186"/>
      <c r="D209" s="173"/>
      <c r="E209" s="106"/>
      <c r="F209" s="643"/>
      <c r="G209" s="106"/>
      <c r="H209" s="643"/>
      <c r="I209" s="25"/>
      <c r="J209" s="617"/>
      <c r="K209" s="654"/>
      <c r="L209" s="654"/>
      <c r="M209" s="654"/>
      <c r="N209" s="617"/>
    </row>
    <row r="210" spans="1:14" s="26" customFormat="1" ht="21.75">
      <c r="A210" s="106"/>
      <c r="B210" s="186"/>
      <c r="C210" s="186"/>
      <c r="D210" s="173"/>
      <c r="E210" s="106"/>
      <c r="F210" s="643"/>
      <c r="G210" s="106"/>
      <c r="H210" s="643"/>
      <c r="I210" s="25"/>
      <c r="J210" s="617"/>
      <c r="K210" s="654"/>
      <c r="L210" s="654"/>
      <c r="M210" s="654"/>
      <c r="N210" s="617"/>
    </row>
    <row r="211" spans="1:14" s="26" customFormat="1" ht="21.75">
      <c r="A211" s="106"/>
      <c r="B211" s="186"/>
      <c r="C211" s="186"/>
      <c r="D211" s="173"/>
      <c r="E211" s="106"/>
      <c r="F211" s="643"/>
      <c r="G211" s="106"/>
      <c r="H211" s="643"/>
      <c r="I211" s="25"/>
      <c r="J211" s="617"/>
      <c r="K211" s="654"/>
      <c r="L211" s="654"/>
      <c r="M211" s="654"/>
      <c r="N211" s="617"/>
    </row>
    <row r="212" spans="1:14" s="26" customFormat="1" ht="21.75">
      <c r="A212" s="106"/>
      <c r="B212" s="186"/>
      <c r="C212" s="186"/>
      <c r="D212" s="173"/>
      <c r="E212" s="106"/>
      <c r="F212" s="643"/>
      <c r="G212" s="106"/>
      <c r="H212" s="643"/>
      <c r="I212" s="25"/>
      <c r="J212" s="617"/>
      <c r="K212" s="654"/>
      <c r="L212" s="654"/>
      <c r="M212" s="654"/>
      <c r="N212" s="617"/>
    </row>
    <row r="213" spans="1:14" s="26" customFormat="1" ht="21.75">
      <c r="A213" s="106"/>
      <c r="B213" s="186"/>
      <c r="C213" s="186"/>
      <c r="D213" s="173"/>
      <c r="E213" s="106"/>
      <c r="F213" s="643"/>
      <c r="G213" s="106"/>
      <c r="H213" s="643"/>
      <c r="I213" s="25"/>
      <c r="J213" s="617"/>
      <c r="K213" s="654"/>
      <c r="L213" s="654"/>
      <c r="M213" s="654"/>
      <c r="N213" s="617"/>
    </row>
    <row r="214" spans="1:14" s="26" customFormat="1" ht="21.75">
      <c r="A214" s="106"/>
      <c r="B214" s="186"/>
      <c r="C214" s="186"/>
      <c r="D214" s="173"/>
      <c r="E214" s="106"/>
      <c r="F214" s="643"/>
      <c r="G214" s="106"/>
      <c r="H214" s="643"/>
      <c r="I214" s="25"/>
      <c r="J214" s="617"/>
      <c r="K214" s="654"/>
      <c r="L214" s="654"/>
      <c r="M214" s="654"/>
      <c r="N214" s="617"/>
    </row>
    <row r="215" spans="1:14" s="26" customFormat="1" ht="21.75">
      <c r="A215" s="106"/>
      <c r="B215" s="186"/>
      <c r="C215" s="186"/>
      <c r="D215" s="173"/>
      <c r="E215" s="106"/>
      <c r="F215" s="643"/>
      <c r="G215" s="106"/>
      <c r="H215" s="643"/>
      <c r="I215" s="25"/>
      <c r="J215" s="617"/>
      <c r="K215" s="654"/>
      <c r="L215" s="654"/>
      <c r="M215" s="654"/>
      <c r="N215" s="617"/>
    </row>
    <row r="216" spans="1:14" s="26" customFormat="1" ht="21.75">
      <c r="A216" s="106"/>
      <c r="B216" s="186"/>
      <c r="C216" s="186"/>
      <c r="D216" s="173"/>
      <c r="E216" s="106"/>
      <c r="F216" s="643"/>
      <c r="G216" s="106"/>
      <c r="H216" s="643"/>
      <c r="I216" s="25"/>
      <c r="J216" s="617"/>
      <c r="K216" s="654"/>
      <c r="L216" s="654"/>
      <c r="M216" s="654"/>
      <c r="N216" s="617"/>
    </row>
    <row r="217" spans="1:14" s="26" customFormat="1" ht="21.75">
      <c r="A217" s="106"/>
      <c r="B217" s="186"/>
      <c r="C217" s="186"/>
      <c r="D217" s="173"/>
      <c r="E217" s="106"/>
      <c r="F217" s="643"/>
      <c r="G217" s="106"/>
      <c r="H217" s="643"/>
      <c r="I217" s="25"/>
      <c r="J217" s="617"/>
      <c r="K217" s="654"/>
      <c r="L217" s="654"/>
      <c r="M217" s="654"/>
      <c r="N217" s="617"/>
    </row>
    <row r="218" spans="1:14" s="26" customFormat="1" ht="21.75">
      <c r="A218" s="106"/>
      <c r="B218" s="186"/>
      <c r="C218" s="186"/>
      <c r="D218" s="173"/>
      <c r="E218" s="106"/>
      <c r="F218" s="643"/>
      <c r="G218" s="106"/>
      <c r="H218" s="643"/>
      <c r="I218" s="25"/>
      <c r="J218" s="617"/>
      <c r="K218" s="654"/>
      <c r="L218" s="654"/>
      <c r="M218" s="654"/>
      <c r="N218" s="617"/>
    </row>
    <row r="219" spans="1:14" s="26" customFormat="1" ht="21.75">
      <c r="A219" s="106"/>
      <c r="B219" s="186"/>
      <c r="C219" s="186"/>
      <c r="D219" s="173"/>
      <c r="E219" s="106"/>
      <c r="F219" s="643"/>
      <c r="G219" s="106"/>
      <c r="H219" s="643"/>
      <c r="I219" s="25"/>
      <c r="J219" s="617"/>
      <c r="K219" s="654"/>
      <c r="L219" s="654"/>
      <c r="M219" s="654"/>
      <c r="N219" s="617"/>
    </row>
    <row r="220" spans="1:14" s="26" customFormat="1" ht="21.75">
      <c r="A220" s="106"/>
      <c r="B220" s="186"/>
      <c r="C220" s="186"/>
      <c r="D220" s="173"/>
      <c r="E220" s="106"/>
      <c r="F220" s="643"/>
      <c r="G220" s="106"/>
      <c r="H220" s="643"/>
      <c r="I220" s="25"/>
      <c r="J220" s="617"/>
      <c r="K220" s="654"/>
      <c r="L220" s="654"/>
      <c r="M220" s="654"/>
      <c r="N220" s="617"/>
    </row>
    <row r="221" spans="1:14" s="26" customFormat="1" ht="21.75">
      <c r="A221" s="106"/>
      <c r="B221" s="186"/>
      <c r="C221" s="186"/>
      <c r="D221" s="173"/>
      <c r="E221" s="106"/>
      <c r="F221" s="643"/>
      <c r="G221" s="106"/>
      <c r="H221" s="643"/>
      <c r="I221" s="25"/>
      <c r="J221" s="617"/>
      <c r="K221" s="654"/>
      <c r="L221" s="654"/>
      <c r="M221" s="654"/>
      <c r="N221" s="617"/>
    </row>
    <row r="222" spans="1:14" s="26" customFormat="1" ht="21.75">
      <c r="A222" s="106"/>
      <c r="B222" s="186"/>
      <c r="C222" s="186"/>
      <c r="D222" s="173"/>
      <c r="E222" s="106"/>
      <c r="F222" s="643"/>
      <c r="G222" s="106"/>
      <c r="H222" s="643"/>
      <c r="I222" s="25"/>
      <c r="J222" s="617"/>
      <c r="K222" s="654"/>
      <c r="L222" s="654"/>
      <c r="M222" s="654"/>
      <c r="N222" s="617"/>
    </row>
    <row r="223" spans="1:14" s="26" customFormat="1" ht="21.75">
      <c r="A223" s="106"/>
      <c r="B223" s="186"/>
      <c r="C223" s="186"/>
      <c r="D223" s="173"/>
      <c r="E223" s="106"/>
      <c r="F223" s="643"/>
      <c r="G223" s="106"/>
      <c r="H223" s="643"/>
      <c r="I223" s="25"/>
      <c r="J223" s="617"/>
      <c r="K223" s="654"/>
      <c r="L223" s="654"/>
      <c r="M223" s="654"/>
      <c r="N223" s="617"/>
    </row>
    <row r="224" spans="1:14" s="26" customFormat="1" ht="21.75">
      <c r="A224" s="106"/>
      <c r="B224" s="186"/>
      <c r="C224" s="186"/>
      <c r="D224" s="173"/>
      <c r="E224" s="106"/>
      <c r="F224" s="643"/>
      <c r="G224" s="106"/>
      <c r="H224" s="643"/>
      <c r="I224" s="25"/>
      <c r="J224" s="617"/>
      <c r="K224" s="654"/>
      <c r="L224" s="654"/>
      <c r="M224" s="654"/>
      <c r="N224" s="617"/>
    </row>
    <row r="225" spans="1:14" s="26" customFormat="1" ht="21.75">
      <c r="A225" s="106"/>
      <c r="B225" s="186"/>
      <c r="C225" s="186"/>
      <c r="D225" s="173"/>
      <c r="E225" s="106"/>
      <c r="F225" s="643"/>
      <c r="G225" s="106"/>
      <c r="H225" s="643"/>
      <c r="I225" s="25"/>
      <c r="J225" s="617"/>
      <c r="K225" s="654"/>
      <c r="L225" s="654"/>
      <c r="M225" s="654"/>
      <c r="N225" s="617"/>
    </row>
    <row r="226" spans="1:14" s="26" customFormat="1" ht="21.75">
      <c r="A226" s="106"/>
      <c r="B226" s="186"/>
      <c r="C226" s="186"/>
      <c r="D226" s="173"/>
      <c r="E226" s="106"/>
      <c r="F226" s="643"/>
      <c r="G226" s="106"/>
      <c r="H226" s="643"/>
      <c r="I226" s="25"/>
      <c r="J226" s="617"/>
      <c r="K226" s="654"/>
      <c r="L226" s="654"/>
      <c r="M226" s="654"/>
      <c r="N226" s="617"/>
    </row>
    <row r="227" spans="1:14" s="26" customFormat="1" ht="21.75">
      <c r="A227" s="106"/>
      <c r="B227" s="186"/>
      <c r="C227" s="186"/>
      <c r="D227" s="173"/>
      <c r="E227" s="106"/>
      <c r="F227" s="643"/>
      <c r="G227" s="106"/>
      <c r="H227" s="643"/>
      <c r="I227" s="25"/>
      <c r="J227" s="617"/>
      <c r="K227" s="654"/>
      <c r="L227" s="654"/>
      <c r="M227" s="654"/>
      <c r="N227" s="617"/>
    </row>
    <row r="228" spans="1:14" s="26" customFormat="1" ht="21.75">
      <c r="A228" s="106"/>
      <c r="B228" s="186"/>
      <c r="C228" s="186"/>
      <c r="D228" s="173"/>
      <c r="E228" s="106"/>
      <c r="F228" s="643"/>
      <c r="G228" s="106"/>
      <c r="H228" s="643"/>
      <c r="I228" s="25"/>
      <c r="J228" s="617"/>
      <c r="K228" s="654"/>
      <c r="L228" s="654"/>
      <c r="M228" s="654"/>
      <c r="N228" s="617"/>
    </row>
    <row r="229" spans="1:14" s="26" customFormat="1" ht="21.75">
      <c r="A229" s="106"/>
      <c r="B229" s="186"/>
      <c r="C229" s="186"/>
      <c r="D229" s="173"/>
      <c r="E229" s="106"/>
      <c r="F229" s="643"/>
      <c r="G229" s="106"/>
      <c r="H229" s="643"/>
      <c r="I229" s="25"/>
      <c r="J229" s="617"/>
      <c r="K229" s="654"/>
      <c r="L229" s="654"/>
      <c r="M229" s="654"/>
      <c r="N229" s="617"/>
    </row>
    <row r="230" spans="1:14" s="26" customFormat="1" ht="21.75">
      <c r="A230" s="106"/>
      <c r="B230" s="186"/>
      <c r="C230" s="186"/>
      <c r="D230" s="173"/>
      <c r="E230" s="106"/>
      <c r="F230" s="643"/>
      <c r="G230" s="106"/>
      <c r="H230" s="643"/>
      <c r="I230" s="25"/>
      <c r="J230" s="617"/>
      <c r="K230" s="654"/>
      <c r="L230" s="654"/>
      <c r="M230" s="654"/>
      <c r="N230" s="617"/>
    </row>
    <row r="231" spans="1:14" s="26" customFormat="1" ht="21.75">
      <c r="A231" s="106"/>
      <c r="B231" s="186"/>
      <c r="C231" s="186"/>
      <c r="D231" s="173"/>
      <c r="E231" s="106"/>
      <c r="F231" s="643"/>
      <c r="G231" s="106"/>
      <c r="H231" s="643"/>
      <c r="I231" s="25"/>
      <c r="J231" s="617"/>
      <c r="K231" s="654"/>
      <c r="L231" s="654"/>
      <c r="M231" s="654"/>
      <c r="N231" s="617"/>
    </row>
    <row r="232" spans="1:14" s="26" customFormat="1" ht="21.75">
      <c r="A232" s="106"/>
      <c r="B232" s="186"/>
      <c r="C232" s="186"/>
      <c r="D232" s="173"/>
      <c r="E232" s="106"/>
      <c r="F232" s="643"/>
      <c r="G232" s="106"/>
      <c r="H232" s="643"/>
      <c r="I232" s="25"/>
      <c r="J232" s="617"/>
      <c r="K232" s="654"/>
      <c r="L232" s="654"/>
      <c r="M232" s="654"/>
      <c r="N232" s="617"/>
    </row>
    <row r="233" spans="1:14" s="26" customFormat="1" ht="21.75">
      <c r="A233" s="106"/>
      <c r="B233" s="186"/>
      <c r="C233" s="186"/>
      <c r="D233" s="173"/>
      <c r="E233" s="106"/>
      <c r="F233" s="643"/>
      <c r="G233" s="106"/>
      <c r="H233" s="643"/>
      <c r="I233" s="25"/>
      <c r="J233" s="617"/>
      <c r="K233" s="654"/>
      <c r="L233" s="654"/>
      <c r="M233" s="654"/>
      <c r="N233" s="617"/>
    </row>
    <row r="234" spans="1:14" s="26" customFormat="1" ht="21.75">
      <c r="A234" s="106"/>
      <c r="B234" s="186"/>
      <c r="C234" s="186"/>
      <c r="D234" s="173"/>
      <c r="E234" s="106"/>
      <c r="F234" s="643"/>
      <c r="G234" s="106"/>
      <c r="H234" s="643"/>
      <c r="I234" s="25"/>
      <c r="J234" s="617"/>
      <c r="K234" s="654"/>
      <c r="L234" s="654"/>
      <c r="M234" s="654"/>
      <c r="N234" s="617"/>
    </row>
    <row r="235" spans="1:14" s="26" customFormat="1" ht="21.75">
      <c r="A235" s="106"/>
      <c r="B235" s="186"/>
      <c r="C235" s="186"/>
      <c r="D235" s="173"/>
      <c r="E235" s="106"/>
      <c r="F235" s="643"/>
      <c r="G235" s="106"/>
      <c r="H235" s="643"/>
      <c r="I235" s="25"/>
      <c r="J235" s="617"/>
      <c r="K235" s="654"/>
      <c r="L235" s="654"/>
      <c r="M235" s="654"/>
      <c r="N235" s="617"/>
    </row>
    <row r="236" spans="1:14" s="26" customFormat="1" ht="21.75">
      <c r="A236" s="106"/>
      <c r="B236" s="186"/>
      <c r="C236" s="186"/>
      <c r="D236" s="173"/>
      <c r="E236" s="106"/>
      <c r="F236" s="643"/>
      <c r="G236" s="106"/>
      <c r="H236" s="643"/>
      <c r="I236" s="25"/>
      <c r="J236" s="617"/>
      <c r="K236" s="654"/>
      <c r="L236" s="654"/>
      <c r="M236" s="654"/>
      <c r="N236" s="617"/>
    </row>
    <row r="237" spans="1:14" s="26" customFormat="1" ht="21.75">
      <c r="A237" s="106"/>
      <c r="B237" s="186"/>
      <c r="C237" s="186"/>
      <c r="D237" s="173"/>
      <c r="E237" s="106"/>
      <c r="F237" s="643"/>
      <c r="G237" s="106"/>
      <c r="H237" s="643"/>
      <c r="I237" s="25"/>
      <c r="J237" s="617"/>
      <c r="K237" s="654"/>
      <c r="L237" s="654"/>
      <c r="M237" s="654"/>
      <c r="N237" s="617"/>
    </row>
    <row r="238" spans="1:14" s="26" customFormat="1" ht="21.75">
      <c r="A238" s="106"/>
      <c r="B238" s="186"/>
      <c r="C238" s="186"/>
      <c r="D238" s="173"/>
      <c r="E238" s="106"/>
      <c r="F238" s="643"/>
      <c r="G238" s="106"/>
      <c r="H238" s="643"/>
      <c r="I238" s="25"/>
      <c r="J238" s="617"/>
      <c r="K238" s="654"/>
      <c r="L238" s="654"/>
      <c r="M238" s="654"/>
      <c r="N238" s="617"/>
    </row>
  </sheetData>
  <sheetProtection/>
  <mergeCells count="7">
    <mergeCell ref="M2:N2"/>
    <mergeCell ref="L2:L3"/>
    <mergeCell ref="A2:A3"/>
    <mergeCell ref="E2:F2"/>
    <mergeCell ref="I2:J2"/>
    <mergeCell ref="K2:K3"/>
    <mergeCell ref="G2:H2"/>
  </mergeCells>
  <printOptions/>
  <pageMargins left="0.18" right="0.16" top="0.29" bottom="0.36" header="0.25" footer="0.27"/>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theme="5" tint="0.39998000860214233"/>
  </sheetPr>
  <dimension ref="A1:AP967"/>
  <sheetViews>
    <sheetView zoomScalePageLayoutView="0" workbookViewId="0" topLeftCell="A1">
      <selection activeCell="N13" sqref="N13"/>
    </sheetView>
  </sheetViews>
  <sheetFormatPr defaultColWidth="9.140625" defaultRowHeight="12.75"/>
  <cols>
    <col min="1" max="1" width="13.7109375" style="63" customWidth="1"/>
    <col min="2" max="2" width="4.421875" style="68" customWidth="1"/>
    <col min="3" max="3" width="9.28125" style="312" bestFit="1" customWidth="1"/>
    <col min="4" max="4" width="5.140625" style="55" customWidth="1"/>
    <col min="5" max="5" width="6.57421875" style="291" customWidth="1"/>
    <col min="6" max="6" width="4.7109375" style="123" customWidth="1"/>
    <col min="7" max="7" width="6.28125" style="291" customWidth="1"/>
    <col min="8" max="8" width="4.8515625" style="123" customWidth="1"/>
    <col min="9" max="9" width="6.57421875" style="291" customWidth="1"/>
    <col min="10" max="10" width="4.421875" style="123" customWidth="1"/>
    <col min="11" max="11" width="6.421875" style="291" customWidth="1"/>
    <col min="12" max="12" width="5.00390625" style="123" customWidth="1"/>
    <col min="13" max="13" width="6.28125" style="291" customWidth="1"/>
    <col min="14" max="14" width="4.7109375" style="124" customWidth="1"/>
    <col min="15" max="15" width="8.421875" style="313" customWidth="1"/>
    <col min="16" max="16" width="5.421875" style="63" customWidth="1"/>
    <col min="17" max="17" width="8.28125" style="598" bestFit="1" customWidth="1"/>
    <col min="18" max="18" width="5.57421875" style="63" customWidth="1"/>
    <col min="19" max="19" width="6.7109375" style="313" customWidth="1"/>
    <col min="20" max="20" width="4.421875" style="63" customWidth="1"/>
    <col min="21" max="21" width="8.140625" style="313" customWidth="1"/>
    <col min="22" max="22" width="5.00390625" style="124" customWidth="1"/>
    <col min="23" max="23" width="9.57421875" style="827" customWidth="1"/>
    <col min="24" max="24" width="5.7109375" style="63" customWidth="1"/>
    <col min="25" max="25" width="8.8515625" style="63" customWidth="1"/>
    <col min="26" max="26" width="4.421875" style="124" customWidth="1"/>
    <col min="27" max="27" width="9.140625" style="123" customWidth="1"/>
    <col min="28" max="28" width="4.7109375" style="123" customWidth="1"/>
    <col min="29" max="29" width="8.421875" style="123" customWidth="1"/>
    <col min="30" max="30" width="4.140625" style="124" customWidth="1"/>
    <col min="31" max="31" width="7.421875" style="63" customWidth="1"/>
    <col min="32" max="32" width="4.00390625" style="63" customWidth="1"/>
    <col min="33" max="33" width="6.57421875" style="63" customWidth="1"/>
    <col min="34" max="34" width="4.140625" style="124" customWidth="1"/>
    <col min="35" max="35" width="6.8515625" style="63" customWidth="1"/>
    <col min="36" max="36" width="5.8515625" style="124" customWidth="1"/>
    <col min="37" max="37" width="8.421875" style="63" customWidth="1"/>
    <col min="38" max="38" width="5.28125" style="63" customWidth="1"/>
    <col min="39" max="39" width="9.7109375" style="80" customWidth="1"/>
    <col min="40" max="40" width="11.00390625" style="0" customWidth="1"/>
    <col min="41" max="41" width="10.8515625" style="124" customWidth="1"/>
    <col min="42" max="42" width="10.28125" style="63" customWidth="1"/>
    <col min="43" max="16384" width="9.140625" style="63" customWidth="1"/>
  </cols>
  <sheetData>
    <row r="1" spans="1:42" s="56" customFormat="1" ht="23.25" customHeight="1">
      <c r="A1" s="158" t="s">
        <v>403</v>
      </c>
      <c r="B1" s="177"/>
      <c r="C1" s="304"/>
      <c r="D1" s="55"/>
      <c r="E1" s="291"/>
      <c r="F1" s="123"/>
      <c r="G1" s="291"/>
      <c r="H1" s="123"/>
      <c r="I1" s="291"/>
      <c r="J1" s="123"/>
      <c r="K1" s="291"/>
      <c r="L1" s="123"/>
      <c r="M1" s="291"/>
      <c r="N1" s="124"/>
      <c r="O1" s="291"/>
      <c r="P1" s="123"/>
      <c r="Q1" s="598"/>
      <c r="R1" s="123"/>
      <c r="S1" s="291"/>
      <c r="T1" s="123"/>
      <c r="U1" s="291"/>
      <c r="V1" s="124"/>
      <c r="W1" s="827"/>
      <c r="X1" s="123"/>
      <c r="Y1" s="123"/>
      <c r="AD1" s="124"/>
      <c r="AF1" s="69"/>
      <c r="AG1" s="69" t="s">
        <v>126</v>
      </c>
      <c r="AJ1" s="124"/>
      <c r="AK1" s="63"/>
      <c r="AL1" s="63"/>
      <c r="AM1" s="67"/>
      <c r="AO1" s="124"/>
      <c r="AP1" s="63"/>
    </row>
    <row r="2" spans="1:42" s="56" customFormat="1" ht="27" customHeight="1" thickBot="1">
      <c r="A2" s="204" t="s">
        <v>149</v>
      </c>
      <c r="B2" s="178"/>
      <c r="C2" s="305"/>
      <c r="D2"/>
      <c r="E2" s="262"/>
      <c r="F2"/>
      <c r="G2" s="262"/>
      <c r="H2"/>
      <c r="I2" s="262"/>
      <c r="J2"/>
      <c r="K2" s="262"/>
      <c r="L2"/>
      <c r="M2" s="262"/>
      <c r="N2"/>
      <c r="O2" s="262"/>
      <c r="P2"/>
      <c r="Q2" s="820"/>
      <c r="R2"/>
      <c r="S2" s="262"/>
      <c r="T2"/>
      <c r="U2" s="262"/>
      <c r="V2"/>
      <c r="W2" s="828" t="s">
        <v>92</v>
      </c>
      <c r="X2"/>
      <c r="Y2"/>
      <c r="Z2"/>
      <c r="AA2"/>
      <c r="AB2"/>
      <c r="AC2"/>
      <c r="AD2"/>
      <c r="AE2"/>
      <c r="AF2"/>
      <c r="AG2"/>
      <c r="AH2"/>
      <c r="AI2"/>
      <c r="AJ2"/>
      <c r="AK2"/>
      <c r="AL2" s="63"/>
      <c r="AM2" s="67"/>
      <c r="AO2" s="124"/>
      <c r="AP2" s="63"/>
    </row>
    <row r="3" spans="1:29" s="56" customFormat="1" ht="71.25" customHeight="1">
      <c r="A3" s="1227" t="s">
        <v>1</v>
      </c>
      <c r="B3" s="1265" t="s">
        <v>63</v>
      </c>
      <c r="C3" s="1265"/>
      <c r="D3" s="1265" t="s">
        <v>75</v>
      </c>
      <c r="E3" s="1265"/>
      <c r="F3" s="1265" t="s">
        <v>65</v>
      </c>
      <c r="G3" s="1265"/>
      <c r="H3" s="1265" t="s">
        <v>76</v>
      </c>
      <c r="I3" s="1265"/>
      <c r="J3" s="1265" t="s">
        <v>68</v>
      </c>
      <c r="K3" s="1265"/>
      <c r="L3" s="1266" t="s">
        <v>69</v>
      </c>
      <c r="M3" s="1266"/>
      <c r="N3" s="1266" t="s">
        <v>70</v>
      </c>
      <c r="O3" s="1266"/>
      <c r="P3" s="1265" t="s">
        <v>71</v>
      </c>
      <c r="Q3" s="1265"/>
      <c r="R3" s="1266" t="s">
        <v>73</v>
      </c>
      <c r="S3" s="1266"/>
      <c r="T3" s="1266" t="s">
        <v>84</v>
      </c>
      <c r="U3" s="1266"/>
      <c r="V3" s="1267" t="s">
        <v>58</v>
      </c>
      <c r="W3" s="1267"/>
      <c r="X3" s="63"/>
      <c r="Y3" s="67"/>
      <c r="Z3"/>
      <c r="AA3"/>
      <c r="AB3"/>
      <c r="AC3"/>
    </row>
    <row r="4" spans="1:29" s="189" customFormat="1" ht="19.5" customHeight="1" thickBot="1">
      <c r="A4" s="1228"/>
      <c r="B4" s="187" t="s">
        <v>10</v>
      </c>
      <c r="C4" s="306" t="s">
        <v>9</v>
      </c>
      <c r="D4" s="187" t="s">
        <v>10</v>
      </c>
      <c r="E4" s="306" t="s">
        <v>9</v>
      </c>
      <c r="F4" s="187" t="s">
        <v>10</v>
      </c>
      <c r="G4" s="306" t="s">
        <v>9</v>
      </c>
      <c r="H4" s="187" t="s">
        <v>10</v>
      </c>
      <c r="I4" s="306" t="s">
        <v>9</v>
      </c>
      <c r="J4" s="187" t="s">
        <v>10</v>
      </c>
      <c r="K4" s="306" t="s">
        <v>9</v>
      </c>
      <c r="L4" s="188" t="s">
        <v>10</v>
      </c>
      <c r="M4" s="306" t="s">
        <v>9</v>
      </c>
      <c r="N4" s="188" t="s">
        <v>10</v>
      </c>
      <c r="O4" s="306" t="s">
        <v>9</v>
      </c>
      <c r="P4" s="188" t="s">
        <v>10</v>
      </c>
      <c r="Q4" s="821" t="s">
        <v>9</v>
      </c>
      <c r="R4" s="188" t="s">
        <v>10</v>
      </c>
      <c r="S4" s="306" t="s">
        <v>9</v>
      </c>
      <c r="T4" s="188" t="s">
        <v>10</v>
      </c>
      <c r="U4" s="306" t="s">
        <v>9</v>
      </c>
      <c r="V4" s="188" t="s">
        <v>10</v>
      </c>
      <c r="W4" s="829" t="s">
        <v>9</v>
      </c>
      <c r="Y4" s="190"/>
      <c r="Z4"/>
      <c r="AA4"/>
      <c r="AB4"/>
      <c r="AC4"/>
    </row>
    <row r="5" spans="1:29" s="56" customFormat="1" ht="22.5" customHeight="1">
      <c r="A5" s="70" t="s">
        <v>77</v>
      </c>
      <c r="B5" s="57"/>
      <c r="C5" s="307"/>
      <c r="D5" s="58"/>
      <c r="E5" s="285"/>
      <c r="F5" s="59"/>
      <c r="G5" s="285"/>
      <c r="H5" s="59"/>
      <c r="I5" s="285"/>
      <c r="J5" s="59"/>
      <c r="K5" s="285"/>
      <c r="L5" s="60"/>
      <c r="M5" s="285"/>
      <c r="N5" s="59"/>
      <c r="O5" s="285"/>
      <c r="P5" s="60"/>
      <c r="Q5" s="822"/>
      <c r="R5" s="59"/>
      <c r="S5" s="285"/>
      <c r="T5" s="60"/>
      <c r="U5" s="285"/>
      <c r="V5" s="60"/>
      <c r="W5" s="830"/>
      <c r="X5" s="63"/>
      <c r="Y5" s="67"/>
      <c r="Z5"/>
      <c r="AA5"/>
      <c r="AB5"/>
      <c r="AC5"/>
    </row>
    <row r="6" spans="1:29" s="56" customFormat="1" ht="22.5" customHeight="1">
      <c r="A6" s="96" t="s">
        <v>78</v>
      </c>
      <c r="B6" s="57"/>
      <c r="C6" s="307"/>
      <c r="D6" s="58"/>
      <c r="E6" s="285"/>
      <c r="F6" s="59"/>
      <c r="G6" s="285"/>
      <c r="H6" s="952"/>
      <c r="I6" s="953"/>
      <c r="J6" s="952"/>
      <c r="K6" s="953"/>
      <c r="L6" s="954"/>
      <c r="M6" s="953"/>
      <c r="N6" s="952"/>
      <c r="O6" s="953"/>
      <c r="P6" s="954"/>
      <c r="Q6" s="955"/>
      <c r="R6" s="952"/>
      <c r="S6" s="953"/>
      <c r="T6" s="954">
        <v>5</v>
      </c>
      <c r="U6" s="953">
        <v>743.1</v>
      </c>
      <c r="V6" s="956">
        <f>B6+D6+F6+H6+J6+L6+N6+P6+R6+T6</f>
        <v>5</v>
      </c>
      <c r="W6" s="883">
        <f>C6+E6+G6+I6+K6+M6+O6+Q6+S6+U6</f>
        <v>743.1</v>
      </c>
      <c r="X6" s="63"/>
      <c r="Y6" s="67"/>
      <c r="Z6"/>
      <c r="AA6"/>
      <c r="AB6"/>
      <c r="AC6"/>
    </row>
    <row r="7" spans="1:29" s="125" customFormat="1" ht="21" customHeight="1">
      <c r="A7" s="96" t="s">
        <v>79</v>
      </c>
      <c r="B7" s="882"/>
      <c r="C7" s="957"/>
      <c r="D7" s="958"/>
      <c r="E7" s="959"/>
      <c r="F7" s="960"/>
      <c r="G7" s="959"/>
      <c r="H7" s="961"/>
      <c r="I7" s="959"/>
      <c r="J7" s="961"/>
      <c r="K7" s="959"/>
      <c r="L7" s="961"/>
      <c r="M7" s="959"/>
      <c r="N7" s="960"/>
      <c r="O7" s="959"/>
      <c r="P7" s="961"/>
      <c r="Q7" s="957"/>
      <c r="R7" s="960"/>
      <c r="S7" s="959"/>
      <c r="T7" s="961">
        <v>5</v>
      </c>
      <c r="U7" s="959">
        <v>534.9</v>
      </c>
      <c r="V7" s="956">
        <f aca="true" t="shared" si="0" ref="V7:W10">B7+D7+F7+H7+J7+L7+N7+P7+R7+T7</f>
        <v>5</v>
      </c>
      <c r="W7" s="883">
        <f t="shared" si="0"/>
        <v>534.9</v>
      </c>
      <c r="Z7"/>
      <c r="AA7"/>
      <c r="AB7"/>
      <c r="AC7"/>
    </row>
    <row r="8" spans="1:29" s="125" customFormat="1" ht="21" customHeight="1">
      <c r="A8" s="96" t="s">
        <v>80</v>
      </c>
      <c r="B8" s="882"/>
      <c r="C8" s="819"/>
      <c r="D8" s="813"/>
      <c r="E8" s="814"/>
      <c r="F8" s="813"/>
      <c r="G8" s="814"/>
      <c r="H8" s="960"/>
      <c r="I8" s="959"/>
      <c r="J8" s="961"/>
      <c r="K8" s="959"/>
      <c r="L8" s="961"/>
      <c r="M8" s="959"/>
      <c r="N8" s="961"/>
      <c r="O8" s="959"/>
      <c r="P8" s="961"/>
      <c r="Q8" s="957"/>
      <c r="R8" s="961"/>
      <c r="S8" s="959"/>
      <c r="T8" s="961">
        <v>7</v>
      </c>
      <c r="U8" s="959">
        <v>972</v>
      </c>
      <c r="V8" s="956">
        <f t="shared" si="0"/>
        <v>7</v>
      </c>
      <c r="W8" s="883">
        <f t="shared" si="0"/>
        <v>972</v>
      </c>
      <c r="Z8"/>
      <c r="AA8"/>
      <c r="AB8"/>
      <c r="AC8"/>
    </row>
    <row r="9" spans="1:29" s="125" customFormat="1" ht="21" customHeight="1">
      <c r="A9" s="96" t="s">
        <v>81</v>
      </c>
      <c r="B9" s="882"/>
      <c r="C9" s="819"/>
      <c r="D9" s="813"/>
      <c r="E9" s="814"/>
      <c r="F9" s="813"/>
      <c r="G9" s="814"/>
      <c r="H9" s="960"/>
      <c r="I9" s="959"/>
      <c r="J9" s="813"/>
      <c r="K9" s="814"/>
      <c r="L9" s="813"/>
      <c r="M9" s="814"/>
      <c r="N9" s="813"/>
      <c r="O9" s="814"/>
      <c r="P9" s="961"/>
      <c r="Q9" s="957"/>
      <c r="R9" s="813"/>
      <c r="S9" s="814"/>
      <c r="T9" s="813">
        <v>6</v>
      </c>
      <c r="U9" s="814">
        <v>442.8</v>
      </c>
      <c r="V9" s="956">
        <f>B9+D9+F9+H9+J9+L9+N9+P9+R9+T9</f>
        <v>6</v>
      </c>
      <c r="W9" s="883">
        <f>C9+E9+G9+I9+K9+M9+O9+Q9+S9+U9</f>
        <v>442.8</v>
      </c>
      <c r="Z9"/>
      <c r="AA9"/>
      <c r="AB9"/>
      <c r="AC9"/>
    </row>
    <row r="10" spans="1:29" s="56" customFormat="1" ht="22.5" customHeight="1" thickBot="1">
      <c r="A10" s="135" t="s">
        <v>125</v>
      </c>
      <c r="B10" s="886"/>
      <c r="C10" s="887"/>
      <c r="D10" s="886"/>
      <c r="E10" s="888"/>
      <c r="F10" s="886"/>
      <c r="G10" s="887"/>
      <c r="H10" s="964"/>
      <c r="I10" s="965">
        <v>275.1</v>
      </c>
      <c r="J10" s="886"/>
      <c r="K10" s="887"/>
      <c r="L10" s="886"/>
      <c r="M10" s="887"/>
      <c r="N10" s="886"/>
      <c r="O10" s="887"/>
      <c r="P10" s="964"/>
      <c r="Q10" s="977"/>
      <c r="R10" s="886"/>
      <c r="S10" s="887"/>
      <c r="T10" s="886">
        <v>2</v>
      </c>
      <c r="U10" s="887">
        <v>147.6</v>
      </c>
      <c r="V10" s="966">
        <f t="shared" si="0"/>
        <v>2</v>
      </c>
      <c r="W10" s="889">
        <f t="shared" si="0"/>
        <v>422.70000000000005</v>
      </c>
      <c r="X10" s="63"/>
      <c r="Y10" s="67"/>
      <c r="Z10"/>
      <c r="AA10"/>
      <c r="AB10"/>
      <c r="AC10"/>
    </row>
    <row r="11" spans="1:29" s="56" customFormat="1" ht="23.25" customHeight="1" thickBot="1">
      <c r="A11" s="84" t="s">
        <v>58</v>
      </c>
      <c r="B11" s="881">
        <f>SUM(B7:B10)</f>
        <v>0</v>
      </c>
      <c r="C11" s="823">
        <f>SUM(C7:C10)</f>
        <v>0</v>
      </c>
      <c r="D11" s="134"/>
      <c r="E11" s="308"/>
      <c r="F11" s="881">
        <f aca="true" t="shared" si="1" ref="F11:K11">SUM(F7:F10)</f>
        <v>0</v>
      </c>
      <c r="G11" s="308">
        <f t="shared" si="1"/>
        <v>0</v>
      </c>
      <c r="H11" s="963">
        <f>SUM(H6:H10)</f>
        <v>0</v>
      </c>
      <c r="I11" s="308">
        <f>SUM(I6:I10)</f>
        <v>275.1</v>
      </c>
      <c r="J11" s="881">
        <f t="shared" si="1"/>
        <v>0</v>
      </c>
      <c r="K11" s="308">
        <f t="shared" si="1"/>
        <v>0</v>
      </c>
      <c r="L11" s="881">
        <f>SUM(L7:L10)</f>
        <v>0</v>
      </c>
      <c r="M11" s="308">
        <f>SUM(M7:M10)</f>
        <v>0</v>
      </c>
      <c r="N11" s="881">
        <f>SUM(N7:N10)</f>
        <v>0</v>
      </c>
      <c r="O11" s="308"/>
      <c r="P11" s="963">
        <f>SUM(P7:P10)</f>
        <v>0</v>
      </c>
      <c r="Q11" s="962">
        <f>SUM(Q7:Q10)</f>
        <v>0</v>
      </c>
      <c r="R11" s="134"/>
      <c r="S11" s="308"/>
      <c r="T11" s="963">
        <f>SUM(T6:T10)</f>
        <v>25</v>
      </c>
      <c r="U11" s="823">
        <f>SUM(U6:U10)</f>
        <v>2840.4</v>
      </c>
      <c r="V11" s="963">
        <f>SUM(V6:V10)</f>
        <v>25</v>
      </c>
      <c r="W11" s="831">
        <f>SUM(W6:W10)</f>
        <v>3115.5</v>
      </c>
      <c r="X11" s="63"/>
      <c r="Y11" s="67"/>
      <c r="Z11"/>
      <c r="AA11"/>
      <c r="AB11"/>
      <c r="AC11"/>
    </row>
    <row r="12" spans="1:29" s="56" customFormat="1" ht="15.75" customHeight="1">
      <c r="A12" s="82"/>
      <c r="B12" s="96"/>
      <c r="C12" s="569"/>
      <c r="D12" s="96"/>
      <c r="E12" s="569"/>
      <c r="F12" s="96"/>
      <c r="G12" s="569"/>
      <c r="H12" s="96"/>
      <c r="I12" s="569"/>
      <c r="J12" s="96"/>
      <c r="K12" s="569"/>
      <c r="L12" s="96"/>
      <c r="M12" s="569"/>
      <c r="N12" s="96"/>
      <c r="O12" s="569"/>
      <c r="P12" s="96"/>
      <c r="Q12" s="824"/>
      <c r="R12" s="96"/>
      <c r="S12" s="569"/>
      <c r="T12" s="96"/>
      <c r="U12" s="569"/>
      <c r="V12" s="96"/>
      <c r="W12" s="372"/>
      <c r="X12" s="63"/>
      <c r="Y12" s="67"/>
      <c r="Z12"/>
      <c r="AA12"/>
      <c r="AB12"/>
      <c r="AC12"/>
    </row>
    <row r="13" spans="1:38" s="56" customFormat="1" ht="27" customHeight="1" thickBot="1">
      <c r="A13" s="205" t="s">
        <v>663</v>
      </c>
      <c r="B13" s="91"/>
      <c r="C13" s="309"/>
      <c r="D13" s="55"/>
      <c r="E13" s="291"/>
      <c r="F13" s="123"/>
      <c r="G13" s="291"/>
      <c r="H13" s="123"/>
      <c r="I13" s="291"/>
      <c r="J13" s="123"/>
      <c r="K13" s="291"/>
      <c r="L13" s="63"/>
      <c r="M13" s="313"/>
      <c r="N13" s="63"/>
      <c r="O13" s="313"/>
      <c r="P13" s="63"/>
      <c r="Q13" s="598"/>
      <c r="R13" s="63"/>
      <c r="S13" s="313"/>
      <c r="T13" s="124"/>
      <c r="U13"/>
      <c r="V13" s="124"/>
      <c r="W13" s="828" t="s">
        <v>92</v>
      </c>
      <c r="X13" s="123"/>
      <c r="Y13" s="123"/>
      <c r="Z13" s="124"/>
      <c r="AA13" s="63"/>
      <c r="AB13" s="63"/>
      <c r="AC13" s="63"/>
      <c r="AD13" s="124"/>
      <c r="AE13" s="63"/>
      <c r="AF13" s="124"/>
      <c r="AG13" s="63"/>
      <c r="AH13" s="63"/>
      <c r="AI13" s="67"/>
      <c r="AK13" s="124"/>
      <c r="AL13" s="63"/>
    </row>
    <row r="14" spans="1:28" s="56" customFormat="1" ht="67.5" customHeight="1">
      <c r="A14" s="1227" t="s">
        <v>1</v>
      </c>
      <c r="B14" s="1265" t="s">
        <v>63</v>
      </c>
      <c r="C14" s="1265"/>
      <c r="D14" s="1265" t="s">
        <v>75</v>
      </c>
      <c r="E14" s="1265"/>
      <c r="F14" s="1265" t="s">
        <v>65</v>
      </c>
      <c r="G14" s="1265"/>
      <c r="H14" s="1265" t="s">
        <v>76</v>
      </c>
      <c r="I14" s="1265"/>
      <c r="J14" s="1265" t="s">
        <v>68</v>
      </c>
      <c r="K14" s="1265"/>
      <c r="L14" s="1266" t="s">
        <v>69</v>
      </c>
      <c r="M14" s="1266"/>
      <c r="N14" s="1265" t="s">
        <v>70</v>
      </c>
      <c r="O14" s="1265"/>
      <c r="P14" s="1265" t="s">
        <v>71</v>
      </c>
      <c r="Q14" s="1265"/>
      <c r="R14" s="1266" t="s">
        <v>73</v>
      </c>
      <c r="S14" s="1266"/>
      <c r="T14" s="1266" t="s">
        <v>84</v>
      </c>
      <c r="U14" s="1266"/>
      <c r="V14" s="1267" t="s">
        <v>58</v>
      </c>
      <c r="W14" s="1267"/>
      <c r="X14" s="63"/>
      <c r="Y14" s="67"/>
      <c r="AA14" s="124"/>
      <c r="AB14" s="63"/>
    </row>
    <row r="15" spans="1:27" s="189" customFormat="1" ht="27" customHeight="1" thickBot="1">
      <c r="A15" s="1228"/>
      <c r="B15" s="187" t="s">
        <v>10</v>
      </c>
      <c r="C15" s="306" t="s">
        <v>9</v>
      </c>
      <c r="D15" s="187" t="s">
        <v>10</v>
      </c>
      <c r="E15" s="306" t="s">
        <v>9</v>
      </c>
      <c r="F15" s="187" t="s">
        <v>10</v>
      </c>
      <c r="G15" s="306" t="s">
        <v>9</v>
      </c>
      <c r="H15" s="187" t="s">
        <v>10</v>
      </c>
      <c r="I15" s="306" t="s">
        <v>9</v>
      </c>
      <c r="J15" s="187" t="s">
        <v>10</v>
      </c>
      <c r="K15" s="306" t="s">
        <v>9</v>
      </c>
      <c r="L15" s="187" t="s">
        <v>10</v>
      </c>
      <c r="M15" s="306" t="s">
        <v>9</v>
      </c>
      <c r="N15" s="188" t="s">
        <v>10</v>
      </c>
      <c r="O15" s="306" t="s">
        <v>9</v>
      </c>
      <c r="P15" s="188" t="s">
        <v>10</v>
      </c>
      <c r="Q15" s="821" t="s">
        <v>9</v>
      </c>
      <c r="R15" s="188" t="s">
        <v>10</v>
      </c>
      <c r="S15" s="306" t="s">
        <v>9</v>
      </c>
      <c r="T15" s="188" t="s">
        <v>10</v>
      </c>
      <c r="U15" s="306" t="s">
        <v>9</v>
      </c>
      <c r="V15" s="188" t="s">
        <v>10</v>
      </c>
      <c r="W15" s="829" t="s">
        <v>9</v>
      </c>
      <c r="Y15" s="190"/>
      <c r="AA15" s="191"/>
    </row>
    <row r="16" spans="1:26" s="56" customFormat="1" ht="21" customHeight="1">
      <c r="A16" s="70" t="s">
        <v>77</v>
      </c>
      <c r="B16" s="57"/>
      <c r="C16" s="307"/>
      <c r="D16" s="58"/>
      <c r="E16" s="285"/>
      <c r="F16" s="59"/>
      <c r="G16" s="285"/>
      <c r="H16" s="59"/>
      <c r="I16" s="285"/>
      <c r="J16" s="59"/>
      <c r="K16" s="285"/>
      <c r="L16" s="59"/>
      <c r="M16" s="285"/>
      <c r="N16" s="60"/>
      <c r="O16" s="285"/>
      <c r="P16" s="60"/>
      <c r="Q16" s="822"/>
      <c r="R16" s="59"/>
      <c r="S16" s="285"/>
      <c r="T16" s="60"/>
      <c r="U16" s="285"/>
      <c r="V16" s="63"/>
      <c r="W16" s="371"/>
      <c r="Y16" s="124"/>
      <c r="Z16" s="63"/>
    </row>
    <row r="17" spans="1:27" s="56" customFormat="1" ht="19.5" customHeight="1">
      <c r="A17" s="70" t="s">
        <v>78</v>
      </c>
      <c r="B17" s="815"/>
      <c r="C17" s="816"/>
      <c r="D17" s="815"/>
      <c r="E17" s="816"/>
      <c r="F17" s="815"/>
      <c r="G17" s="816"/>
      <c r="H17" s="815"/>
      <c r="I17" s="816"/>
      <c r="J17" s="815"/>
      <c r="K17" s="816"/>
      <c r="L17" s="815"/>
      <c r="M17" s="816"/>
      <c r="N17" s="815">
        <v>2</v>
      </c>
      <c r="O17" s="816">
        <v>26.5</v>
      </c>
      <c r="P17" s="961"/>
      <c r="Q17" s="957"/>
      <c r="R17" s="815"/>
      <c r="S17" s="816"/>
      <c r="T17" s="815"/>
      <c r="U17" s="816"/>
      <c r="V17" s="357">
        <f aca="true" t="shared" si="2" ref="V17:W20">B17+D17+F17+H17+J17+L17+N17+P17+R17+T17</f>
        <v>2</v>
      </c>
      <c r="W17" s="884">
        <f t="shared" si="2"/>
        <v>26.5</v>
      </c>
      <c r="X17" s="87"/>
      <c r="Y17" s="194"/>
      <c r="Z17" s="138"/>
      <c r="AA17" s="139"/>
    </row>
    <row r="18" spans="1:27" s="56" customFormat="1" ht="19.5" customHeight="1">
      <c r="A18" s="70" t="s">
        <v>79</v>
      </c>
      <c r="B18" s="815"/>
      <c r="C18" s="816"/>
      <c r="D18" s="815"/>
      <c r="E18" s="816"/>
      <c r="F18" s="815"/>
      <c r="G18" s="816"/>
      <c r="H18" s="815"/>
      <c r="I18" s="816"/>
      <c r="J18" s="815"/>
      <c r="K18" s="816"/>
      <c r="L18" s="815"/>
      <c r="M18" s="816"/>
      <c r="N18" s="815">
        <v>2</v>
      </c>
      <c r="O18" s="816">
        <v>26.5</v>
      </c>
      <c r="P18" s="961"/>
      <c r="Q18" s="957"/>
      <c r="R18" s="815"/>
      <c r="S18" s="816"/>
      <c r="T18" s="815"/>
      <c r="U18" s="816"/>
      <c r="V18" s="357">
        <f t="shared" si="2"/>
        <v>2</v>
      </c>
      <c r="W18" s="884">
        <f t="shared" si="2"/>
        <v>26.5</v>
      </c>
      <c r="X18" s="87"/>
      <c r="Y18" s="194"/>
      <c r="Z18" s="138"/>
      <c r="AA18" s="139"/>
    </row>
    <row r="19" spans="1:27" s="56" customFormat="1" ht="19.5" customHeight="1">
      <c r="A19" s="70" t="s">
        <v>80</v>
      </c>
      <c r="B19" s="815"/>
      <c r="C19" s="816"/>
      <c r="D19" s="815"/>
      <c r="E19" s="816"/>
      <c r="F19" s="815"/>
      <c r="G19" s="816"/>
      <c r="H19" s="815"/>
      <c r="I19" s="816"/>
      <c r="J19" s="815"/>
      <c r="K19" s="816"/>
      <c r="L19" s="815"/>
      <c r="M19" s="816"/>
      <c r="N19" s="815"/>
      <c r="O19" s="816"/>
      <c r="P19" s="961"/>
      <c r="Q19" s="957"/>
      <c r="R19" s="815"/>
      <c r="S19" s="816"/>
      <c r="T19" s="815"/>
      <c r="U19" s="816"/>
      <c r="V19" s="357">
        <f t="shared" si="2"/>
        <v>0</v>
      </c>
      <c r="W19" s="884">
        <f t="shared" si="2"/>
        <v>0</v>
      </c>
      <c r="X19" s="87"/>
      <c r="Y19" s="194"/>
      <c r="Z19" s="138"/>
      <c r="AA19" s="139"/>
    </row>
    <row r="20" spans="1:25" s="207" customFormat="1" ht="19.5" customHeight="1">
      <c r="A20" s="147" t="s">
        <v>81</v>
      </c>
      <c r="B20" s="817"/>
      <c r="C20" s="818"/>
      <c r="D20" s="817"/>
      <c r="E20" s="818"/>
      <c r="F20" s="817"/>
      <c r="G20" s="818"/>
      <c r="H20" s="817"/>
      <c r="I20" s="818"/>
      <c r="J20" s="817"/>
      <c r="K20" s="818"/>
      <c r="L20" s="817"/>
      <c r="M20" s="818"/>
      <c r="N20" s="817">
        <v>2</v>
      </c>
      <c r="O20" s="818">
        <v>26.5</v>
      </c>
      <c r="P20" s="978"/>
      <c r="Q20" s="979"/>
      <c r="R20" s="817"/>
      <c r="S20" s="818"/>
      <c r="T20" s="817"/>
      <c r="U20" s="818"/>
      <c r="V20" s="967">
        <f t="shared" si="2"/>
        <v>2</v>
      </c>
      <c r="W20" s="968">
        <f t="shared" si="2"/>
        <v>26.5</v>
      </c>
      <c r="Y20" s="18"/>
    </row>
    <row r="21" spans="1:29" s="56" customFormat="1" ht="22.5" customHeight="1" thickBot="1">
      <c r="A21" s="135" t="s">
        <v>125</v>
      </c>
      <c r="B21" s="193"/>
      <c r="C21" s="310"/>
      <c r="D21" s="193"/>
      <c r="E21" s="310"/>
      <c r="F21" s="193"/>
      <c r="G21" s="310"/>
      <c r="H21" s="193"/>
      <c r="I21" s="310"/>
      <c r="J21" s="193"/>
      <c r="K21" s="310"/>
      <c r="L21" s="193"/>
      <c r="M21" s="310"/>
      <c r="N21" s="193"/>
      <c r="O21" s="310"/>
      <c r="P21" s="193"/>
      <c r="Q21" s="825"/>
      <c r="R21" s="193"/>
      <c r="S21" s="310"/>
      <c r="T21" s="193"/>
      <c r="U21" s="310"/>
      <c r="V21" s="967"/>
      <c r="W21" s="968"/>
      <c r="X21" s="63"/>
      <c r="Y21" s="67"/>
      <c r="Z21"/>
      <c r="AA21"/>
      <c r="AB21"/>
      <c r="AC21"/>
    </row>
    <row r="22" spans="1:26" s="146" customFormat="1" ht="23.25" customHeight="1" thickBot="1">
      <c r="A22" s="192" t="s">
        <v>58</v>
      </c>
      <c r="B22" s="209">
        <f aca="true" t="shared" si="3" ref="B22:V22">SUM(B16:B21)</f>
        <v>0</v>
      </c>
      <c r="C22" s="209">
        <f t="shared" si="3"/>
        <v>0</v>
      </c>
      <c r="D22" s="209">
        <f t="shared" si="3"/>
        <v>0</v>
      </c>
      <c r="E22" s="209">
        <f t="shared" si="3"/>
        <v>0</v>
      </c>
      <c r="F22" s="209">
        <f t="shared" si="3"/>
        <v>0</v>
      </c>
      <c r="G22" s="209">
        <f t="shared" si="3"/>
        <v>0</v>
      </c>
      <c r="H22" s="209">
        <f t="shared" si="3"/>
        <v>0</v>
      </c>
      <c r="I22" s="209">
        <f t="shared" si="3"/>
        <v>0</v>
      </c>
      <c r="J22" s="209">
        <f t="shared" si="3"/>
        <v>0</v>
      </c>
      <c r="K22" s="209">
        <f t="shared" si="3"/>
        <v>0</v>
      </c>
      <c r="L22" s="209">
        <f t="shared" si="3"/>
        <v>0</v>
      </c>
      <c r="M22" s="209">
        <f t="shared" si="3"/>
        <v>0</v>
      </c>
      <c r="N22" s="209">
        <f t="shared" si="3"/>
        <v>6</v>
      </c>
      <c r="O22" s="885">
        <f t="shared" si="3"/>
        <v>79.5</v>
      </c>
      <c r="P22" s="209">
        <f t="shared" si="3"/>
        <v>0</v>
      </c>
      <c r="Q22" s="826">
        <f t="shared" si="3"/>
        <v>0</v>
      </c>
      <c r="R22" s="209">
        <f t="shared" si="3"/>
        <v>0</v>
      </c>
      <c r="S22" s="885">
        <f t="shared" si="3"/>
        <v>0</v>
      </c>
      <c r="T22" s="209">
        <f t="shared" si="3"/>
        <v>0</v>
      </c>
      <c r="U22" s="209">
        <f t="shared" si="3"/>
        <v>0</v>
      </c>
      <c r="V22" s="209">
        <f t="shared" si="3"/>
        <v>6</v>
      </c>
      <c r="W22" s="826">
        <f>SUM(W17:W21)</f>
        <v>79.5</v>
      </c>
      <c r="X22" s="42"/>
      <c r="Y22" s="42"/>
      <c r="Z22" s="42"/>
    </row>
    <row r="23" spans="2:23" ht="24" customHeight="1">
      <c r="B23" s="80"/>
      <c r="C23" s="311"/>
      <c r="E23" s="262"/>
      <c r="G23" s="262"/>
      <c r="I23" s="262"/>
      <c r="K23" s="262"/>
      <c r="M23" s="262"/>
      <c r="O23" s="262"/>
      <c r="Q23" s="820"/>
      <c r="S23" s="262"/>
      <c r="U23" s="262"/>
      <c r="W23" s="832"/>
    </row>
    <row r="24" spans="1:23" ht="22.5" thickBot="1">
      <c r="A24" s="205" t="s">
        <v>150</v>
      </c>
      <c r="B24" s="91"/>
      <c r="C24" s="309"/>
      <c r="L24" s="63"/>
      <c r="M24" s="313"/>
      <c r="N24" s="63"/>
      <c r="T24" s="124"/>
      <c r="V24" s="124"/>
      <c r="W24" s="828" t="s">
        <v>92</v>
      </c>
    </row>
    <row r="25" spans="1:23" ht="61.5" customHeight="1">
      <c r="A25" s="1227" t="s">
        <v>1</v>
      </c>
      <c r="B25" s="1265" t="s">
        <v>63</v>
      </c>
      <c r="C25" s="1265"/>
      <c r="D25" s="1265" t="s">
        <v>75</v>
      </c>
      <c r="E25" s="1265"/>
      <c r="F25" s="1265" t="s">
        <v>65</v>
      </c>
      <c r="G25" s="1265"/>
      <c r="H25" s="1265" t="s">
        <v>76</v>
      </c>
      <c r="I25" s="1265"/>
      <c r="J25" s="1265" t="s">
        <v>68</v>
      </c>
      <c r="K25" s="1265"/>
      <c r="L25" s="1266" t="s">
        <v>69</v>
      </c>
      <c r="M25" s="1266"/>
      <c r="N25" s="1265" t="s">
        <v>70</v>
      </c>
      <c r="O25" s="1265"/>
      <c r="P25" s="1265" t="s">
        <v>71</v>
      </c>
      <c r="Q25" s="1265"/>
      <c r="R25" s="1266" t="s">
        <v>73</v>
      </c>
      <c r="S25" s="1266"/>
      <c r="T25" s="1266" t="s">
        <v>84</v>
      </c>
      <c r="U25" s="1266"/>
      <c r="V25" s="1267" t="s">
        <v>58</v>
      </c>
      <c r="W25" s="1267"/>
    </row>
    <row r="26" spans="1:23" ht="21.75" customHeight="1" thickBot="1">
      <c r="A26" s="1228"/>
      <c r="B26" s="187" t="s">
        <v>10</v>
      </c>
      <c r="C26" s="306" t="s">
        <v>9</v>
      </c>
      <c r="D26" s="187" t="s">
        <v>10</v>
      </c>
      <c r="E26" s="306" t="s">
        <v>9</v>
      </c>
      <c r="F26" s="187" t="s">
        <v>10</v>
      </c>
      <c r="G26" s="306" t="s">
        <v>9</v>
      </c>
      <c r="H26" s="187" t="s">
        <v>10</v>
      </c>
      <c r="I26" s="306" t="s">
        <v>9</v>
      </c>
      <c r="J26" s="187" t="s">
        <v>10</v>
      </c>
      <c r="K26" s="306" t="s">
        <v>9</v>
      </c>
      <c r="L26" s="187" t="s">
        <v>10</v>
      </c>
      <c r="M26" s="306" t="s">
        <v>9</v>
      </c>
      <c r="N26" s="188" t="s">
        <v>10</v>
      </c>
      <c r="O26" s="306" t="s">
        <v>9</v>
      </c>
      <c r="P26" s="188" t="s">
        <v>10</v>
      </c>
      <c r="Q26" s="821" t="s">
        <v>9</v>
      </c>
      <c r="R26" s="188" t="s">
        <v>10</v>
      </c>
      <c r="S26" s="306" t="s">
        <v>9</v>
      </c>
      <c r="T26" s="188" t="s">
        <v>10</v>
      </c>
      <c r="U26" s="306" t="s">
        <v>9</v>
      </c>
      <c r="V26" s="188" t="s">
        <v>10</v>
      </c>
      <c r="W26" s="829" t="s">
        <v>9</v>
      </c>
    </row>
    <row r="27" spans="1:23" ht="27" customHeight="1">
      <c r="A27" s="70" t="s">
        <v>77</v>
      </c>
      <c r="B27" s="57"/>
      <c r="C27" s="307"/>
      <c r="D27" s="58"/>
      <c r="E27" s="285"/>
      <c r="F27" s="59"/>
      <c r="G27" s="285"/>
      <c r="H27" s="59"/>
      <c r="I27" s="285"/>
      <c r="J27" s="59"/>
      <c r="K27" s="285"/>
      <c r="L27" s="59"/>
      <c r="M27" s="285"/>
      <c r="N27" s="60"/>
      <c r="O27" s="285"/>
      <c r="P27" s="60"/>
      <c r="Q27" s="822"/>
      <c r="R27" s="59"/>
      <c r="S27" s="285"/>
      <c r="T27" s="60"/>
      <c r="U27" s="285"/>
      <c r="V27" s="63"/>
      <c r="W27" s="371"/>
    </row>
    <row r="28" spans="1:23" ht="21" customHeight="1">
      <c r="A28" s="70" t="s">
        <v>78</v>
      </c>
      <c r="B28" s="815"/>
      <c r="C28" s="816"/>
      <c r="D28" s="815"/>
      <c r="E28" s="816"/>
      <c r="F28" s="815"/>
      <c r="G28" s="816"/>
      <c r="H28" s="815"/>
      <c r="I28" s="816"/>
      <c r="J28" s="1136">
        <v>25</v>
      </c>
      <c r="K28" s="1137">
        <v>944.2</v>
      </c>
      <c r="L28" s="137"/>
      <c r="M28" s="1138"/>
      <c r="N28" s="137"/>
      <c r="O28" s="1138"/>
      <c r="P28" s="852">
        <v>15</v>
      </c>
      <c r="Q28" s="1139">
        <v>223.6</v>
      </c>
      <c r="R28" s="815"/>
      <c r="S28" s="816"/>
      <c r="T28" s="815"/>
      <c r="U28" s="816"/>
      <c r="V28" s="357">
        <f aca="true" t="shared" si="4" ref="V28:W31">B28+D28+F28+H28+J28+L28+N28+P28+R28+T28</f>
        <v>40</v>
      </c>
      <c r="W28" s="884">
        <f t="shared" si="4"/>
        <v>1167.8</v>
      </c>
    </row>
    <row r="29" spans="1:23" ht="20.25" customHeight="1">
      <c r="A29" s="70" t="s">
        <v>79</v>
      </c>
      <c r="B29" s="815"/>
      <c r="C29" s="816"/>
      <c r="D29" s="815"/>
      <c r="E29" s="816"/>
      <c r="F29" s="815"/>
      <c r="G29" s="816"/>
      <c r="H29" s="815"/>
      <c r="I29" s="816"/>
      <c r="J29" s="137"/>
      <c r="K29" s="1138"/>
      <c r="L29" s="137"/>
      <c r="M29" s="1138"/>
      <c r="N29" s="137"/>
      <c r="O29" s="1138"/>
      <c r="P29" s="852">
        <v>5</v>
      </c>
      <c r="Q29" s="1139">
        <v>74.6</v>
      </c>
      <c r="R29" s="815"/>
      <c r="S29" s="816"/>
      <c r="T29" s="815"/>
      <c r="U29" s="816"/>
      <c r="V29" s="357">
        <f t="shared" si="4"/>
        <v>5</v>
      </c>
      <c r="W29" s="884">
        <f t="shared" si="4"/>
        <v>74.6</v>
      </c>
    </row>
    <row r="30" spans="1:23" ht="20.25" customHeight="1">
      <c r="A30" s="70" t="s">
        <v>80</v>
      </c>
      <c r="B30" s="815"/>
      <c r="C30" s="816"/>
      <c r="D30" s="815"/>
      <c r="E30" s="816"/>
      <c r="F30" s="815"/>
      <c r="G30" s="816"/>
      <c r="H30" s="815"/>
      <c r="I30" s="816"/>
      <c r="J30" s="137"/>
      <c r="K30" s="1138"/>
      <c r="L30" s="137"/>
      <c r="M30" s="1138"/>
      <c r="N30" s="137"/>
      <c r="O30" s="1138"/>
      <c r="P30" s="852">
        <v>10</v>
      </c>
      <c r="Q30" s="1139">
        <v>149.1</v>
      </c>
      <c r="R30" s="815"/>
      <c r="S30" s="816"/>
      <c r="T30" s="815"/>
      <c r="U30" s="816"/>
      <c r="V30" s="357">
        <f t="shared" si="4"/>
        <v>10</v>
      </c>
      <c r="W30" s="884">
        <f t="shared" si="4"/>
        <v>149.1</v>
      </c>
    </row>
    <row r="31" spans="1:23" ht="20.25" customHeight="1">
      <c r="A31" s="147" t="s">
        <v>81</v>
      </c>
      <c r="B31" s="817"/>
      <c r="C31" s="818"/>
      <c r="D31" s="817"/>
      <c r="E31" s="818"/>
      <c r="F31" s="817"/>
      <c r="G31" s="818"/>
      <c r="H31" s="817"/>
      <c r="I31" s="818"/>
      <c r="J31" s="208"/>
      <c r="K31" s="1140"/>
      <c r="L31" s="208"/>
      <c r="M31" s="1140"/>
      <c r="N31" s="208"/>
      <c r="O31" s="1140"/>
      <c r="P31" s="1141">
        <v>15</v>
      </c>
      <c r="Q31" s="1142">
        <v>223.8</v>
      </c>
      <c r="R31" s="817"/>
      <c r="S31" s="818"/>
      <c r="T31" s="817"/>
      <c r="U31" s="818"/>
      <c r="V31" s="967">
        <f t="shared" si="4"/>
        <v>15</v>
      </c>
      <c r="W31" s="968">
        <f t="shared" si="4"/>
        <v>223.8</v>
      </c>
    </row>
    <row r="32" spans="1:23" ht="20.25" customHeight="1">
      <c r="A32" s="1128" t="s">
        <v>606</v>
      </c>
      <c r="B32" s="815"/>
      <c r="C32" s="816"/>
      <c r="D32" s="815"/>
      <c r="E32" s="816"/>
      <c r="F32" s="815"/>
      <c r="G32" s="816"/>
      <c r="H32" s="815"/>
      <c r="I32" s="816"/>
      <c r="J32" s="137"/>
      <c r="K32" s="1138"/>
      <c r="L32" s="137"/>
      <c r="M32" s="1138"/>
      <c r="N32" s="137"/>
      <c r="O32" s="1138"/>
      <c r="P32" s="852"/>
      <c r="Q32" s="1139"/>
      <c r="R32" s="815"/>
      <c r="S32" s="816"/>
      <c r="T32" s="815"/>
      <c r="U32" s="816"/>
      <c r="V32" s="357"/>
      <c r="W32" s="884"/>
    </row>
    <row r="33" spans="1:23" ht="20.25" customHeight="1" thickBot="1">
      <c r="A33" s="134" t="s">
        <v>86</v>
      </c>
      <c r="B33" s="815"/>
      <c r="C33" s="816"/>
      <c r="D33" s="815"/>
      <c r="E33" s="816"/>
      <c r="F33" s="815"/>
      <c r="G33" s="816"/>
      <c r="H33" s="815"/>
      <c r="I33" s="816"/>
      <c r="J33" s="137"/>
      <c r="K33" s="1138"/>
      <c r="L33" s="137"/>
      <c r="M33" s="1138"/>
      <c r="N33" s="137"/>
      <c r="O33" s="1138"/>
      <c r="P33" s="852">
        <v>5</v>
      </c>
      <c r="Q33" s="1139">
        <v>74.5</v>
      </c>
      <c r="R33" s="815"/>
      <c r="S33" s="816"/>
      <c r="T33" s="815"/>
      <c r="U33" s="816"/>
      <c r="V33" s="967">
        <f>B33+D33+F33+H33+J33+L33+N33+P33+R33+T33</f>
        <v>5</v>
      </c>
      <c r="W33" s="968">
        <f>C33+E33+G33+I33+K33+M33+O33+Q33+S33+U33</f>
        <v>74.5</v>
      </c>
    </row>
    <row r="34" spans="1:23" ht="21.75" customHeight="1" thickBot="1">
      <c r="A34" s="192" t="s">
        <v>58</v>
      </c>
      <c r="B34" s="209">
        <f aca="true" t="shared" si="5" ref="B34:V34">SUM(B27:B33)</f>
        <v>0</v>
      </c>
      <c r="C34" s="209">
        <f t="shared" si="5"/>
        <v>0</v>
      </c>
      <c r="D34" s="209">
        <f t="shared" si="5"/>
        <v>0</v>
      </c>
      <c r="E34" s="209">
        <f t="shared" si="5"/>
        <v>0</v>
      </c>
      <c r="F34" s="209">
        <f t="shared" si="5"/>
        <v>0</v>
      </c>
      <c r="G34" s="209">
        <f t="shared" si="5"/>
        <v>0</v>
      </c>
      <c r="H34" s="209">
        <f t="shared" si="5"/>
        <v>0</v>
      </c>
      <c r="I34" s="209">
        <f t="shared" si="5"/>
        <v>0</v>
      </c>
      <c r="J34" s="209">
        <f t="shared" si="5"/>
        <v>25</v>
      </c>
      <c r="K34" s="209">
        <f t="shared" si="5"/>
        <v>944.2</v>
      </c>
      <c r="L34" s="209">
        <f t="shared" si="5"/>
        <v>0</v>
      </c>
      <c r="M34" s="209">
        <f t="shared" si="5"/>
        <v>0</v>
      </c>
      <c r="N34" s="209">
        <f t="shared" si="5"/>
        <v>0</v>
      </c>
      <c r="O34" s="885">
        <f t="shared" si="5"/>
        <v>0</v>
      </c>
      <c r="P34" s="209">
        <f t="shared" si="5"/>
        <v>50</v>
      </c>
      <c r="Q34" s="826">
        <f t="shared" si="5"/>
        <v>745.5999999999999</v>
      </c>
      <c r="R34" s="209">
        <f t="shared" si="5"/>
        <v>0</v>
      </c>
      <c r="S34" s="885">
        <f t="shared" si="5"/>
        <v>0</v>
      </c>
      <c r="T34" s="209">
        <f t="shared" si="5"/>
        <v>0</v>
      </c>
      <c r="U34" s="209">
        <f t="shared" si="5"/>
        <v>0</v>
      </c>
      <c r="V34" s="209">
        <f t="shared" si="5"/>
        <v>75</v>
      </c>
      <c r="W34" s="826">
        <f>SUM(W28:W33)</f>
        <v>1689.7999999999997</v>
      </c>
    </row>
    <row r="35" spans="2:23" ht="9" customHeight="1">
      <c r="B35" s="80"/>
      <c r="C35" s="311"/>
      <c r="E35" s="262"/>
      <c r="G35" s="262"/>
      <c r="I35" s="262"/>
      <c r="K35" s="262"/>
      <c r="M35" s="262"/>
      <c r="O35" s="262"/>
      <c r="Q35" s="820"/>
      <c r="S35" s="262"/>
      <c r="U35" s="262"/>
      <c r="W35" s="832"/>
    </row>
    <row r="36" spans="1:23" ht="22.5" thickBot="1">
      <c r="A36" s="205" t="s">
        <v>611</v>
      </c>
      <c r="B36" s="91"/>
      <c r="C36" s="309"/>
      <c r="L36" s="63"/>
      <c r="M36" s="313"/>
      <c r="N36" s="63"/>
      <c r="T36" s="124"/>
      <c r="V36" s="124"/>
      <c r="W36" s="828" t="s">
        <v>92</v>
      </c>
    </row>
    <row r="37" spans="1:23" ht="66" customHeight="1">
      <c r="A37" s="1227" t="s">
        <v>1</v>
      </c>
      <c r="B37" s="1265" t="s">
        <v>63</v>
      </c>
      <c r="C37" s="1265"/>
      <c r="D37" s="1265" t="s">
        <v>75</v>
      </c>
      <c r="E37" s="1265"/>
      <c r="F37" s="1265" t="s">
        <v>65</v>
      </c>
      <c r="G37" s="1265"/>
      <c r="H37" s="1265" t="s">
        <v>76</v>
      </c>
      <c r="I37" s="1265"/>
      <c r="J37" s="1265" t="s">
        <v>68</v>
      </c>
      <c r="K37" s="1265"/>
      <c r="L37" s="1266" t="s">
        <v>69</v>
      </c>
      <c r="M37" s="1266"/>
      <c r="N37" s="1265" t="s">
        <v>70</v>
      </c>
      <c r="O37" s="1265"/>
      <c r="P37" s="1265" t="s">
        <v>71</v>
      </c>
      <c r="Q37" s="1265"/>
      <c r="R37" s="1266" t="s">
        <v>73</v>
      </c>
      <c r="S37" s="1266"/>
      <c r="T37" s="1266" t="s">
        <v>84</v>
      </c>
      <c r="U37" s="1266"/>
      <c r="V37" s="1267" t="s">
        <v>58</v>
      </c>
      <c r="W37" s="1267"/>
    </row>
    <row r="38" spans="1:23" ht="22.5" thickBot="1">
      <c r="A38" s="1228"/>
      <c r="B38" s="187" t="s">
        <v>10</v>
      </c>
      <c r="C38" s="306" t="s">
        <v>9</v>
      </c>
      <c r="D38" s="187" t="s">
        <v>10</v>
      </c>
      <c r="E38" s="306" t="s">
        <v>9</v>
      </c>
      <c r="F38" s="187" t="s">
        <v>10</v>
      </c>
      <c r="G38" s="306" t="s">
        <v>9</v>
      </c>
      <c r="H38" s="187" t="s">
        <v>10</v>
      </c>
      <c r="I38" s="306" t="s">
        <v>9</v>
      </c>
      <c r="J38" s="187" t="s">
        <v>10</v>
      </c>
      <c r="K38" s="306" t="s">
        <v>9</v>
      </c>
      <c r="L38" s="187" t="s">
        <v>10</v>
      </c>
      <c r="M38" s="306" t="s">
        <v>9</v>
      </c>
      <c r="N38" s="188" t="s">
        <v>10</v>
      </c>
      <c r="O38" s="306" t="s">
        <v>9</v>
      </c>
      <c r="P38" s="188" t="s">
        <v>10</v>
      </c>
      <c r="Q38" s="821" t="s">
        <v>9</v>
      </c>
      <c r="R38" s="188" t="s">
        <v>10</v>
      </c>
      <c r="S38" s="306" t="s">
        <v>9</v>
      </c>
      <c r="T38" s="188" t="s">
        <v>10</v>
      </c>
      <c r="U38" s="306" t="s">
        <v>9</v>
      </c>
      <c r="V38" s="188" t="s">
        <v>10</v>
      </c>
      <c r="W38" s="829" t="s">
        <v>9</v>
      </c>
    </row>
    <row r="39" spans="1:23" ht="21.75">
      <c r="A39" s="70" t="s">
        <v>77</v>
      </c>
      <c r="B39" s="57"/>
      <c r="C39" s="307"/>
      <c r="D39" s="58"/>
      <c r="E39" s="285"/>
      <c r="F39" s="59"/>
      <c r="G39" s="285"/>
      <c r="H39" s="59"/>
      <c r="I39" s="285"/>
      <c r="J39" s="59"/>
      <c r="K39" s="285"/>
      <c r="L39" s="59"/>
      <c r="M39" s="285"/>
      <c r="N39" s="60"/>
      <c r="O39" s="285"/>
      <c r="P39" s="60"/>
      <c r="Q39" s="822"/>
      <c r="R39" s="59"/>
      <c r="S39" s="285"/>
      <c r="T39" s="60"/>
      <c r="U39" s="285"/>
      <c r="V39" s="63"/>
      <c r="W39" s="371"/>
    </row>
    <row r="40" spans="1:23" ht="21.75">
      <c r="A40" s="70" t="s">
        <v>78</v>
      </c>
      <c r="B40" s="815"/>
      <c r="C40" s="816"/>
      <c r="D40" s="815"/>
      <c r="E40" s="816"/>
      <c r="F40" s="815"/>
      <c r="G40" s="816"/>
      <c r="H40" s="815"/>
      <c r="I40" s="816"/>
      <c r="J40" s="815"/>
      <c r="K40" s="816"/>
      <c r="L40" s="815"/>
      <c r="M40" s="816"/>
      <c r="N40" s="815"/>
      <c r="O40" s="816"/>
      <c r="P40" s="961"/>
      <c r="Q40" s="957"/>
      <c r="R40" s="815"/>
      <c r="S40" s="816"/>
      <c r="T40" s="815"/>
      <c r="U40" s="816"/>
      <c r="V40" s="357">
        <f aca="true" t="shared" si="6" ref="V40:W43">B40+D40+F40+H40+J40+L40+N40+P40+R40+T40</f>
        <v>0</v>
      </c>
      <c r="W40" s="884">
        <f t="shared" si="6"/>
        <v>0</v>
      </c>
    </row>
    <row r="41" spans="1:23" ht="21.75">
      <c r="A41" s="70" t="s">
        <v>79</v>
      </c>
      <c r="B41" s="815"/>
      <c r="C41" s="816"/>
      <c r="D41" s="815"/>
      <c r="E41" s="816"/>
      <c r="F41" s="815"/>
      <c r="G41" s="816"/>
      <c r="H41" s="815"/>
      <c r="I41" s="816"/>
      <c r="J41" s="815"/>
      <c r="K41" s="816"/>
      <c r="L41" s="815"/>
      <c r="M41" s="816"/>
      <c r="N41" s="815"/>
      <c r="O41" s="816"/>
      <c r="P41" s="961"/>
      <c r="Q41" s="957"/>
      <c r="R41" s="815"/>
      <c r="S41" s="816"/>
      <c r="T41" s="815"/>
      <c r="U41" s="816"/>
      <c r="V41" s="357">
        <f t="shared" si="6"/>
        <v>0</v>
      </c>
      <c r="W41" s="884">
        <f t="shared" si="6"/>
        <v>0</v>
      </c>
    </row>
    <row r="42" spans="1:23" ht="21.75">
      <c r="A42" s="70" t="s">
        <v>80</v>
      </c>
      <c r="B42" s="815"/>
      <c r="C42" s="816"/>
      <c r="D42" s="815"/>
      <c r="E42" s="816"/>
      <c r="F42" s="815"/>
      <c r="G42" s="816"/>
      <c r="H42" s="815"/>
      <c r="I42" s="816"/>
      <c r="J42" s="815"/>
      <c r="K42" s="816"/>
      <c r="L42" s="815"/>
      <c r="M42" s="816"/>
      <c r="N42" s="815"/>
      <c r="O42" s="816"/>
      <c r="P42" s="961"/>
      <c r="Q42" s="957"/>
      <c r="R42" s="815"/>
      <c r="S42" s="816"/>
      <c r="T42" s="815"/>
      <c r="U42" s="816"/>
      <c r="V42" s="357">
        <f t="shared" si="6"/>
        <v>0</v>
      </c>
      <c r="W42" s="884">
        <f t="shared" si="6"/>
        <v>0</v>
      </c>
    </row>
    <row r="43" spans="1:23" ht="21.75">
      <c r="A43" s="147" t="s">
        <v>81</v>
      </c>
      <c r="B43" s="817"/>
      <c r="C43" s="818"/>
      <c r="D43" s="817"/>
      <c r="E43" s="818"/>
      <c r="F43" s="817"/>
      <c r="G43" s="818"/>
      <c r="H43" s="817"/>
      <c r="I43" s="818"/>
      <c r="J43" s="817"/>
      <c r="K43" s="818"/>
      <c r="L43" s="817"/>
      <c r="M43" s="818"/>
      <c r="N43" s="817"/>
      <c r="O43" s="818"/>
      <c r="P43" s="978">
        <v>4</v>
      </c>
      <c r="Q43" s="979">
        <v>739.2</v>
      </c>
      <c r="R43" s="817"/>
      <c r="S43" s="818"/>
      <c r="T43" s="817"/>
      <c r="U43" s="818"/>
      <c r="V43" s="967">
        <f t="shared" si="6"/>
        <v>4</v>
      </c>
      <c r="W43" s="968">
        <f t="shared" si="6"/>
        <v>739.2</v>
      </c>
    </row>
    <row r="44" spans="1:23" ht="21.75">
      <c r="A44" s="1128" t="s">
        <v>607</v>
      </c>
      <c r="B44" s="815"/>
      <c r="C44" s="816"/>
      <c r="D44" s="815"/>
      <c r="E44" s="816"/>
      <c r="F44" s="815"/>
      <c r="G44" s="816"/>
      <c r="H44" s="815"/>
      <c r="I44" s="816"/>
      <c r="J44" s="815"/>
      <c r="K44" s="816"/>
      <c r="L44" s="815"/>
      <c r="M44" s="816"/>
      <c r="N44" s="815"/>
      <c r="O44" s="816"/>
      <c r="P44" s="961"/>
      <c r="Q44" s="957"/>
      <c r="R44" s="815"/>
      <c r="S44" s="816"/>
      <c r="T44" s="815"/>
      <c r="U44" s="816"/>
      <c r="V44" s="357"/>
      <c r="W44" s="884"/>
    </row>
    <row r="45" spans="1:23" ht="21.75">
      <c r="A45" s="147" t="s">
        <v>109</v>
      </c>
      <c r="B45" s="815"/>
      <c r="C45" s="816"/>
      <c r="D45" s="815"/>
      <c r="E45" s="816"/>
      <c r="F45" s="815"/>
      <c r="G45" s="816"/>
      <c r="H45" s="815"/>
      <c r="I45" s="816"/>
      <c r="J45" s="815">
        <v>4</v>
      </c>
      <c r="K45" s="816">
        <v>350.9</v>
      </c>
      <c r="L45" s="815"/>
      <c r="M45" s="816"/>
      <c r="N45" s="815"/>
      <c r="O45" s="816"/>
      <c r="P45" s="961"/>
      <c r="Q45" s="957"/>
      <c r="R45" s="815"/>
      <c r="S45" s="816"/>
      <c r="T45" s="815"/>
      <c r="U45" s="816"/>
      <c r="V45" s="967">
        <f>B45+D45+F45+H45+J45+L45+N45+P45+R45+T45</f>
        <v>4</v>
      </c>
      <c r="W45" s="968">
        <f>C45+E45+G45+I45+K45+M45+O45+Q45+S45+U45</f>
        <v>350.9</v>
      </c>
    </row>
    <row r="46" spans="1:29" s="56" customFormat="1" ht="22.5" customHeight="1" thickBot="1">
      <c r="A46" s="134" t="s">
        <v>371</v>
      </c>
      <c r="B46" s="193"/>
      <c r="C46" s="310"/>
      <c r="D46" s="193"/>
      <c r="E46" s="310"/>
      <c r="F46" s="193">
        <v>7</v>
      </c>
      <c r="G46" s="310">
        <f>11+59.8</f>
        <v>70.8</v>
      </c>
      <c r="H46" s="193"/>
      <c r="I46" s="310"/>
      <c r="J46" s="193">
        <v>2</v>
      </c>
      <c r="K46" s="310">
        <v>175.4</v>
      </c>
      <c r="L46" s="193"/>
      <c r="M46" s="310"/>
      <c r="N46" s="193"/>
      <c r="O46" s="310"/>
      <c r="P46" s="193"/>
      <c r="Q46" s="825"/>
      <c r="R46" s="193"/>
      <c r="S46" s="310"/>
      <c r="T46" s="193"/>
      <c r="U46" s="310"/>
      <c r="V46" s="967">
        <f>B46+D46+F46+H46+J46+L46+N46+P46+R46+T46</f>
        <v>9</v>
      </c>
      <c r="W46" s="968">
        <f>C46+E46+G46+I46+K46+M46+O46+Q46+S46+U46</f>
        <v>246.2</v>
      </c>
      <c r="X46" s="63"/>
      <c r="Y46" s="67"/>
      <c r="Z46"/>
      <c r="AA46"/>
      <c r="AB46"/>
      <c r="AC46"/>
    </row>
    <row r="47" spans="1:23" ht="22.5" thickBot="1">
      <c r="A47" s="192" t="s">
        <v>58</v>
      </c>
      <c r="B47" s="209">
        <f>SUM(B39:B45)</f>
        <v>0</v>
      </c>
      <c r="C47" s="209">
        <f>SUM(C39:C45)</f>
        <v>0</v>
      </c>
      <c r="D47" s="209">
        <f>SUM(D39:D45)</f>
        <v>0</v>
      </c>
      <c r="E47" s="209">
        <f>SUM(E39:E45)</f>
        <v>0</v>
      </c>
      <c r="F47" s="209">
        <f>SUM(F45:F46)</f>
        <v>7</v>
      </c>
      <c r="G47" s="885">
        <f>SUM(G45:G46)</f>
        <v>70.8</v>
      </c>
      <c r="H47" s="209">
        <f>SUM(H39:H45)</f>
        <v>0</v>
      </c>
      <c r="I47" s="209">
        <f>SUM(I39:I45)</f>
        <v>0</v>
      </c>
      <c r="J47" s="209">
        <f>SUM(J45:J46)</f>
        <v>6</v>
      </c>
      <c r="K47" s="885">
        <f>SUM(K45:K46)</f>
        <v>526.3</v>
      </c>
      <c r="L47" s="209">
        <f aca="true" t="shared" si="7" ref="L47:U47">SUM(L39:L45)</f>
        <v>0</v>
      </c>
      <c r="M47" s="209">
        <f t="shared" si="7"/>
        <v>0</v>
      </c>
      <c r="N47" s="209">
        <f t="shared" si="7"/>
        <v>0</v>
      </c>
      <c r="O47" s="885">
        <f t="shared" si="7"/>
        <v>0</v>
      </c>
      <c r="P47" s="209">
        <f t="shared" si="7"/>
        <v>4</v>
      </c>
      <c r="Q47" s="826">
        <f t="shared" si="7"/>
        <v>739.2</v>
      </c>
      <c r="R47" s="209">
        <f t="shared" si="7"/>
        <v>0</v>
      </c>
      <c r="S47" s="885">
        <f t="shared" si="7"/>
        <v>0</v>
      </c>
      <c r="T47" s="209">
        <f t="shared" si="7"/>
        <v>0</v>
      </c>
      <c r="U47" s="209">
        <f t="shared" si="7"/>
        <v>0</v>
      </c>
      <c r="V47" s="209">
        <f>SUM(V40:V46)</f>
        <v>17</v>
      </c>
      <c r="W47" s="826">
        <f>SUM(W40:W46)</f>
        <v>1336.3</v>
      </c>
    </row>
    <row r="49" spans="1:23" ht="22.5" thickBot="1">
      <c r="A49" s="205" t="s">
        <v>608</v>
      </c>
      <c r="B49" s="91"/>
      <c r="C49" s="309"/>
      <c r="L49" s="63"/>
      <c r="M49" s="313"/>
      <c r="N49" s="63"/>
      <c r="T49" s="124"/>
      <c r="U49"/>
      <c r="W49" s="828" t="s">
        <v>92</v>
      </c>
    </row>
    <row r="50" spans="1:23" ht="66.75" customHeight="1">
      <c r="A50" s="1227" t="s">
        <v>1</v>
      </c>
      <c r="B50" s="1265" t="s">
        <v>63</v>
      </c>
      <c r="C50" s="1265"/>
      <c r="D50" s="1265" t="s">
        <v>75</v>
      </c>
      <c r="E50" s="1265"/>
      <c r="F50" s="1265" t="s">
        <v>65</v>
      </c>
      <c r="G50" s="1265"/>
      <c r="H50" s="1265" t="s">
        <v>76</v>
      </c>
      <c r="I50" s="1265"/>
      <c r="J50" s="1265" t="s">
        <v>68</v>
      </c>
      <c r="K50" s="1265"/>
      <c r="L50" s="1266" t="s">
        <v>69</v>
      </c>
      <c r="M50" s="1266"/>
      <c r="N50" s="1265" t="s">
        <v>70</v>
      </c>
      <c r="O50" s="1265"/>
      <c r="P50" s="1265" t="s">
        <v>71</v>
      </c>
      <c r="Q50" s="1265"/>
      <c r="R50" s="1266" t="s">
        <v>73</v>
      </c>
      <c r="S50" s="1266"/>
      <c r="T50" s="1266" t="s">
        <v>84</v>
      </c>
      <c r="U50" s="1266"/>
      <c r="V50" s="1267" t="s">
        <v>58</v>
      </c>
      <c r="W50" s="1267"/>
    </row>
    <row r="51" spans="1:23" ht="22.5" thickBot="1">
      <c r="A51" s="1228"/>
      <c r="B51" s="187" t="s">
        <v>10</v>
      </c>
      <c r="C51" s="306" t="s">
        <v>9</v>
      </c>
      <c r="D51" s="187" t="s">
        <v>10</v>
      </c>
      <c r="E51" s="306" t="s">
        <v>9</v>
      </c>
      <c r="F51" s="187" t="s">
        <v>10</v>
      </c>
      <c r="G51" s="306" t="s">
        <v>9</v>
      </c>
      <c r="H51" s="187" t="s">
        <v>10</v>
      </c>
      <c r="I51" s="306" t="s">
        <v>9</v>
      </c>
      <c r="J51" s="187" t="s">
        <v>10</v>
      </c>
      <c r="K51" s="306" t="s">
        <v>9</v>
      </c>
      <c r="L51" s="187" t="s">
        <v>10</v>
      </c>
      <c r="M51" s="306" t="s">
        <v>9</v>
      </c>
      <c r="N51" s="188" t="s">
        <v>10</v>
      </c>
      <c r="O51" s="306" t="s">
        <v>9</v>
      </c>
      <c r="P51" s="188" t="s">
        <v>10</v>
      </c>
      <c r="Q51" s="821" t="s">
        <v>9</v>
      </c>
      <c r="R51" s="188" t="s">
        <v>10</v>
      </c>
      <c r="S51" s="306" t="s">
        <v>9</v>
      </c>
      <c r="T51" s="188" t="s">
        <v>10</v>
      </c>
      <c r="U51" s="306" t="s">
        <v>9</v>
      </c>
      <c r="V51" s="188" t="s">
        <v>10</v>
      </c>
      <c r="W51" s="829" t="s">
        <v>9</v>
      </c>
    </row>
    <row r="52" spans="1:23" ht="21.75">
      <c r="A52" s="70" t="s">
        <v>609</v>
      </c>
      <c r="B52" s="57"/>
      <c r="C52" s="307"/>
      <c r="D52" s="58"/>
      <c r="E52" s="285"/>
      <c r="F52" s="59"/>
      <c r="G52" s="285"/>
      <c r="H52" s="59"/>
      <c r="I52" s="285"/>
      <c r="J52" s="59"/>
      <c r="K52" s="285"/>
      <c r="L52" s="59"/>
      <c r="M52" s="285"/>
      <c r="N52" s="60"/>
      <c r="O52" s="285"/>
      <c r="P52" s="60"/>
      <c r="Q52" s="822"/>
      <c r="R52" s="59"/>
      <c r="S52" s="285"/>
      <c r="T52" s="60"/>
      <c r="U52" s="285"/>
      <c r="V52" s="63"/>
      <c r="W52" s="371"/>
    </row>
    <row r="53" spans="1:23" ht="21.75">
      <c r="A53" s="70" t="s">
        <v>166</v>
      </c>
      <c r="B53" s="815"/>
      <c r="C53" s="816"/>
      <c r="D53" s="815">
        <v>1</v>
      </c>
      <c r="E53" s="816">
        <v>202.6</v>
      </c>
      <c r="F53" s="815"/>
      <c r="G53" s="816"/>
      <c r="H53" s="815"/>
      <c r="I53" s="816"/>
      <c r="J53" s="815"/>
      <c r="K53" s="816"/>
      <c r="L53" s="815"/>
      <c r="M53" s="816"/>
      <c r="N53" s="815"/>
      <c r="O53" s="816"/>
      <c r="P53" s="961"/>
      <c r="Q53" s="957"/>
      <c r="R53" s="815"/>
      <c r="S53" s="816"/>
      <c r="T53" s="815"/>
      <c r="U53" s="816"/>
      <c r="V53" s="357">
        <f aca="true" t="shared" si="8" ref="V53:W55">B53+D53+F53+H53+J53+L53+N53+P53+R53+T53</f>
        <v>1</v>
      </c>
      <c r="W53" s="884">
        <f t="shared" si="8"/>
        <v>202.6</v>
      </c>
    </row>
    <row r="54" spans="1:23" ht="21.75">
      <c r="A54" s="70" t="s">
        <v>277</v>
      </c>
      <c r="B54" s="815"/>
      <c r="C54" s="816"/>
      <c r="D54" s="815">
        <v>1</v>
      </c>
      <c r="E54" s="816">
        <v>279.6</v>
      </c>
      <c r="F54" s="815"/>
      <c r="G54" s="816"/>
      <c r="H54" s="815"/>
      <c r="I54" s="816"/>
      <c r="J54" s="815"/>
      <c r="K54" s="816"/>
      <c r="L54" s="815"/>
      <c r="M54" s="816"/>
      <c r="N54" s="815"/>
      <c r="O54" s="816"/>
      <c r="P54" s="961"/>
      <c r="Q54" s="957"/>
      <c r="R54" s="815"/>
      <c r="S54" s="816"/>
      <c r="T54" s="815"/>
      <c r="U54" s="816"/>
      <c r="V54" s="357">
        <f t="shared" si="8"/>
        <v>1</v>
      </c>
      <c r="W54" s="884">
        <f t="shared" si="8"/>
        <v>279.6</v>
      </c>
    </row>
    <row r="55" spans="1:23" ht="22.5" thickBot="1">
      <c r="A55" s="70" t="s">
        <v>610</v>
      </c>
      <c r="B55" s="815"/>
      <c r="C55" s="816"/>
      <c r="D55" s="815">
        <v>1</v>
      </c>
      <c r="E55" s="816">
        <v>229.5</v>
      </c>
      <c r="F55" s="815"/>
      <c r="G55" s="816"/>
      <c r="H55" s="815"/>
      <c r="I55" s="816"/>
      <c r="J55" s="815"/>
      <c r="K55" s="816"/>
      <c r="L55" s="815"/>
      <c r="M55" s="816"/>
      <c r="N55" s="815"/>
      <c r="O55" s="816"/>
      <c r="P55" s="961"/>
      <c r="Q55" s="957"/>
      <c r="R55" s="815"/>
      <c r="S55" s="816"/>
      <c r="T55" s="815"/>
      <c r="U55" s="816"/>
      <c r="V55" s="357">
        <f t="shared" si="8"/>
        <v>1</v>
      </c>
      <c r="W55" s="884">
        <f t="shared" si="8"/>
        <v>229.5</v>
      </c>
    </row>
    <row r="56" spans="1:23" ht="22.5" thickBot="1">
      <c r="A56" s="192" t="s">
        <v>58</v>
      </c>
      <c r="B56" s="209">
        <f>SUM(B52:B55)</f>
        <v>0</v>
      </c>
      <c r="C56" s="209">
        <f>SUM(C52:C55)</f>
        <v>0</v>
      </c>
      <c r="D56" s="209">
        <f>SUM(D52:D55)</f>
        <v>3</v>
      </c>
      <c r="E56" s="885">
        <f>SUM(E52:E55)</f>
        <v>711.7</v>
      </c>
      <c r="F56" s="209"/>
      <c r="G56" s="885"/>
      <c r="H56" s="209">
        <f>SUM(H52:H55)</f>
        <v>0</v>
      </c>
      <c r="I56" s="209">
        <f>SUM(I52:I55)</f>
        <v>0</v>
      </c>
      <c r="J56" s="209"/>
      <c r="K56" s="885"/>
      <c r="L56" s="209">
        <f aca="true" t="shared" si="9" ref="L56:U56">SUM(L52:L55)</f>
        <v>0</v>
      </c>
      <c r="M56" s="209">
        <f t="shared" si="9"/>
        <v>0</v>
      </c>
      <c r="N56" s="209">
        <f t="shared" si="9"/>
        <v>0</v>
      </c>
      <c r="O56" s="885">
        <f t="shared" si="9"/>
        <v>0</v>
      </c>
      <c r="P56" s="209">
        <f t="shared" si="9"/>
        <v>0</v>
      </c>
      <c r="Q56" s="826">
        <f t="shared" si="9"/>
        <v>0</v>
      </c>
      <c r="R56" s="209">
        <f t="shared" si="9"/>
        <v>0</v>
      </c>
      <c r="S56" s="885">
        <f t="shared" si="9"/>
        <v>0</v>
      </c>
      <c r="T56" s="209">
        <f t="shared" si="9"/>
        <v>0</v>
      </c>
      <c r="U56" s="209">
        <f t="shared" si="9"/>
        <v>0</v>
      </c>
      <c r="V56" s="209">
        <f>SUM(V53:V55)</f>
        <v>3</v>
      </c>
      <c r="W56" s="826">
        <f>SUM(W53:W55)</f>
        <v>711.7</v>
      </c>
    </row>
    <row r="845" ht="21.75">
      <c r="O845" s="313" t="s">
        <v>205</v>
      </c>
    </row>
    <row r="870" ht="21.75">
      <c r="O870" s="313" t="s">
        <v>206</v>
      </c>
    </row>
    <row r="905" ht="21.75">
      <c r="O905" s="752" t="s">
        <v>207</v>
      </c>
    </row>
    <row r="966" ht="21.75">
      <c r="O966" s="313" t="s">
        <v>208</v>
      </c>
    </row>
    <row r="967" ht="21.75">
      <c r="O967" s="313" t="s">
        <v>209</v>
      </c>
    </row>
  </sheetData>
  <sheetProtection/>
  <mergeCells count="60">
    <mergeCell ref="L50:M50"/>
    <mergeCell ref="N50:O50"/>
    <mergeCell ref="P50:Q50"/>
    <mergeCell ref="R50:S50"/>
    <mergeCell ref="T50:U50"/>
    <mergeCell ref="V50:W50"/>
    <mergeCell ref="A50:A51"/>
    <mergeCell ref="B50:C50"/>
    <mergeCell ref="D50:E50"/>
    <mergeCell ref="F50:G50"/>
    <mergeCell ref="H50:I50"/>
    <mergeCell ref="J50:K50"/>
    <mergeCell ref="L37:M37"/>
    <mergeCell ref="N37:O37"/>
    <mergeCell ref="P37:Q37"/>
    <mergeCell ref="R37:S37"/>
    <mergeCell ref="T37:U37"/>
    <mergeCell ref="V37:W37"/>
    <mergeCell ref="A37:A38"/>
    <mergeCell ref="B37:C37"/>
    <mergeCell ref="D37:E37"/>
    <mergeCell ref="F37:G37"/>
    <mergeCell ref="H37:I37"/>
    <mergeCell ref="J37:K37"/>
    <mergeCell ref="L25:M25"/>
    <mergeCell ref="N25:O25"/>
    <mergeCell ref="P25:Q25"/>
    <mergeCell ref="R25:S25"/>
    <mergeCell ref="T25:U25"/>
    <mergeCell ref="V25:W25"/>
    <mergeCell ref="A25:A26"/>
    <mergeCell ref="B25:C25"/>
    <mergeCell ref="D25:E25"/>
    <mergeCell ref="F25:G25"/>
    <mergeCell ref="H25:I25"/>
    <mergeCell ref="J25:K25"/>
    <mergeCell ref="V3:W3"/>
    <mergeCell ref="N3:O3"/>
    <mergeCell ref="P3:Q3"/>
    <mergeCell ref="T3:U3"/>
    <mergeCell ref="B14:C14"/>
    <mergeCell ref="F14:G14"/>
    <mergeCell ref="J3:K3"/>
    <mergeCell ref="L3:M3"/>
    <mergeCell ref="V14:W14"/>
    <mergeCell ref="R14:S14"/>
    <mergeCell ref="A3:A4"/>
    <mergeCell ref="D3:E3"/>
    <mergeCell ref="F3:G3"/>
    <mergeCell ref="B3:C3"/>
    <mergeCell ref="A14:A15"/>
    <mergeCell ref="D14:E14"/>
    <mergeCell ref="H3:I3"/>
    <mergeCell ref="L14:M14"/>
    <mergeCell ref="N14:O14"/>
    <mergeCell ref="P14:Q14"/>
    <mergeCell ref="T14:U14"/>
    <mergeCell ref="J14:K14"/>
    <mergeCell ref="H14:I14"/>
    <mergeCell ref="R3:S3"/>
  </mergeCells>
  <hyperlinks>
    <hyperlink ref="O905" r:id="rId1" display="\\\\\\\\\\\\\\\\\\\\\\\\\\\\\\\\\\\\\\\\\\\\\\\\\\\\\\\\\"/>
  </hyperlinks>
  <printOptions horizontalCentered="1"/>
  <pageMargins left="0" right="0" top="0.5511811023622047" bottom="0.1968503937007874" header="0.15748031496062992" footer="0.2755905511811024"/>
  <pageSetup horizontalDpi="600" verticalDpi="600" orientation="landscape" paperSize="9" scale="90" r:id="rId2"/>
</worksheet>
</file>

<file path=xl/worksheets/sheet15.xml><?xml version="1.0" encoding="utf-8"?>
<worksheet xmlns="http://schemas.openxmlformats.org/spreadsheetml/2006/main" xmlns:r="http://schemas.openxmlformats.org/officeDocument/2006/relationships">
  <dimension ref="A1:G226"/>
  <sheetViews>
    <sheetView zoomScalePageLayoutView="0" workbookViewId="0" topLeftCell="A1">
      <selection activeCell="B9" sqref="B9"/>
    </sheetView>
  </sheetViews>
  <sheetFormatPr defaultColWidth="9.140625" defaultRowHeight="12.75"/>
  <cols>
    <col min="1" max="1" width="3.00390625" style="517" bestFit="1" customWidth="1"/>
    <col min="2" max="2" width="43.7109375" style="526" customWidth="1"/>
    <col min="3" max="3" width="62.57421875" style="519" customWidth="1"/>
    <col min="4" max="4" width="5.8515625" style="517" customWidth="1"/>
    <col min="5" max="5" width="9.57421875" style="519" customWidth="1"/>
    <col min="6" max="6" width="9.140625" style="80" customWidth="1"/>
    <col min="7" max="7" width="11.7109375" style="80" customWidth="1"/>
    <col min="8" max="16384" width="9.140625" style="519" customWidth="1"/>
  </cols>
  <sheetData>
    <row r="1" spans="2:5" ht="24.75" customHeight="1" thickBot="1">
      <c r="B1" s="946" t="s">
        <v>337</v>
      </c>
      <c r="C1" s="518"/>
      <c r="D1" s="552"/>
      <c r="E1" s="19" t="s">
        <v>0</v>
      </c>
    </row>
    <row r="2" spans="1:7" s="508" customFormat="1" ht="34.5" customHeight="1" thickBot="1">
      <c r="A2" s="533"/>
      <c r="B2" s="534" t="s">
        <v>116</v>
      </c>
      <c r="C2" s="532" t="s">
        <v>118</v>
      </c>
      <c r="D2" s="532" t="s">
        <v>10</v>
      </c>
      <c r="E2" s="535" t="s">
        <v>9</v>
      </c>
      <c r="G2" s="509"/>
    </row>
    <row r="3" spans="1:7" s="165" customFormat="1" ht="63">
      <c r="A3" s="199">
        <v>1</v>
      </c>
      <c r="B3" s="537" t="s">
        <v>340</v>
      </c>
      <c r="C3" s="757" t="s">
        <v>330</v>
      </c>
      <c r="D3" s="538">
        <v>12</v>
      </c>
      <c r="E3" s="539">
        <f>154.8+162.9+67.9+150.9+99.4+161.9+86.4+107.8+173.4+82.7+163+144.4</f>
        <v>1555.5</v>
      </c>
      <c r="G3" s="164"/>
    </row>
    <row r="4" spans="1:5" ht="42">
      <c r="A4" s="199">
        <v>2</v>
      </c>
      <c r="B4" s="537" t="s">
        <v>331</v>
      </c>
      <c r="C4" s="757" t="s">
        <v>332</v>
      </c>
      <c r="D4" s="538">
        <v>16</v>
      </c>
      <c r="E4" s="539">
        <f>174.6+191.2+139+160.4+161.9+210.5+117.4+181.3+82.3+191.4+191.4</f>
        <v>1801.4</v>
      </c>
    </row>
    <row r="5" spans="1:5" ht="42">
      <c r="A5" s="199">
        <v>3</v>
      </c>
      <c r="B5" s="537" t="s">
        <v>338</v>
      </c>
      <c r="C5" s="757" t="s">
        <v>339</v>
      </c>
      <c r="D5" s="538">
        <v>12</v>
      </c>
      <c r="E5" s="539">
        <v>1807</v>
      </c>
    </row>
    <row r="6" spans="1:5" ht="63">
      <c r="A6" s="199">
        <v>4</v>
      </c>
      <c r="B6" s="537" t="s">
        <v>333</v>
      </c>
      <c r="C6" s="758" t="s">
        <v>334</v>
      </c>
      <c r="D6" s="538">
        <v>13</v>
      </c>
      <c r="E6" s="539">
        <f>202.9+162.2+225.8+208.8+25.4+206.5+129.5+55.8+143.6+55.4+25.4+309.7+198.9</f>
        <v>1949.9</v>
      </c>
    </row>
    <row r="7" spans="1:7" s="7" customFormat="1" ht="84">
      <c r="A7" s="199">
        <v>5</v>
      </c>
      <c r="B7" s="537" t="s">
        <v>335</v>
      </c>
      <c r="C7" s="758" t="s">
        <v>336</v>
      </c>
      <c r="D7" s="542">
        <v>22</v>
      </c>
      <c r="E7" s="539">
        <f>66.1+112.3+50.8+31.9+143.9+222.2+71.9+52.1+166.1+82.8+82+95.6+87.4+57.3+130.4+50.8+66.1+79.2+138.3+48.9+41.1+91.6+85.8</f>
        <v>2054.6</v>
      </c>
      <c r="G7" s="80"/>
    </row>
    <row r="8" spans="1:7" s="508" customFormat="1" ht="21" customHeight="1">
      <c r="A8" s="511"/>
      <c r="B8" s="212" t="s">
        <v>152</v>
      </c>
      <c r="C8" s="512"/>
      <c r="D8" s="212">
        <f>SUM(D3:D7)</f>
        <v>75</v>
      </c>
      <c r="E8" s="212">
        <f>SUM(E3:E7)</f>
        <v>9168.4</v>
      </c>
      <c r="G8" s="509"/>
    </row>
    <row r="9" spans="1:7" s="7" customFormat="1" ht="18.75" customHeight="1">
      <c r="A9" s="524"/>
      <c r="B9" s="168"/>
      <c r="C9" s="130"/>
      <c r="D9" s="131"/>
      <c r="E9" s="523"/>
      <c r="G9" s="80"/>
    </row>
    <row r="10" spans="1:7" s="7" customFormat="1" ht="18.75" customHeight="1">
      <c r="A10" s="524"/>
      <c r="B10" s="168"/>
      <c r="C10" s="195"/>
      <c r="D10" s="196"/>
      <c r="E10" s="525"/>
      <c r="G10" s="80"/>
    </row>
    <row r="11" spans="1:7" s="7" customFormat="1" ht="18.75" customHeight="1">
      <c r="A11" s="524"/>
      <c r="B11" s="168"/>
      <c r="C11" s="130"/>
      <c r="D11" s="196"/>
      <c r="E11" s="523"/>
      <c r="G11" s="80"/>
    </row>
    <row r="12" spans="1:7" s="7" customFormat="1" ht="18.75" customHeight="1">
      <c r="A12" s="524"/>
      <c r="B12" s="168"/>
      <c r="C12" s="130"/>
      <c r="D12" s="131"/>
      <c r="E12" s="523"/>
      <c r="G12" s="80"/>
    </row>
    <row r="13" spans="1:7" s="7" customFormat="1" ht="18.75" customHeight="1">
      <c r="A13" s="524"/>
      <c r="B13" s="168"/>
      <c r="C13" s="130"/>
      <c r="D13" s="131"/>
      <c r="E13" s="523"/>
      <c r="G13" s="80"/>
    </row>
    <row r="14" spans="1:7" s="7" customFormat="1" ht="18.75" customHeight="1">
      <c r="A14" s="524"/>
      <c r="B14" s="167"/>
      <c r="C14" s="130"/>
      <c r="D14" s="131"/>
      <c r="E14" s="523"/>
      <c r="G14" s="80"/>
    </row>
    <row r="15" spans="1:7" s="108" customFormat="1" ht="19.5" customHeight="1">
      <c r="A15" s="524"/>
      <c r="B15" s="167"/>
      <c r="C15" s="130"/>
      <c r="D15" s="131"/>
      <c r="E15" s="523"/>
      <c r="G15" s="80"/>
    </row>
    <row r="16" spans="1:7" s="108" customFormat="1" ht="19.5" customHeight="1">
      <c r="A16" s="517"/>
      <c r="B16" s="526"/>
      <c r="C16" s="519"/>
      <c r="D16" s="517"/>
      <c r="E16" s="519"/>
      <c r="G16" s="80"/>
    </row>
    <row r="18" spans="1:5" ht="18.75">
      <c r="A18" s="133"/>
      <c r="B18" s="132"/>
      <c r="C18" s="132"/>
      <c r="D18" s="133"/>
      <c r="E18" s="527"/>
    </row>
    <row r="19" spans="1:7" s="132" customFormat="1" ht="21.75" customHeight="1">
      <c r="A19" s="133"/>
      <c r="B19" s="528"/>
      <c r="D19" s="133"/>
      <c r="E19" s="92"/>
      <c r="G19" s="166"/>
    </row>
    <row r="20" spans="1:7" s="108" customFormat="1" ht="18" customHeight="1">
      <c r="A20" s="80"/>
      <c r="B20" s="529"/>
      <c r="C20" s="80"/>
      <c r="D20" s="555"/>
      <c r="E20" s="80"/>
      <c r="G20" s="80"/>
    </row>
    <row r="21" spans="2:4" s="80" customFormat="1" ht="19.5" customHeight="1">
      <c r="B21" s="529"/>
      <c r="D21" s="555"/>
    </row>
    <row r="22" spans="2:4" s="80" customFormat="1" ht="15">
      <c r="B22" s="529"/>
      <c r="D22" s="555"/>
    </row>
    <row r="23" spans="2:4" s="80" customFormat="1" ht="15">
      <c r="B23" s="529"/>
      <c r="D23" s="555"/>
    </row>
    <row r="24" spans="2:4" s="80" customFormat="1" ht="15">
      <c r="B24" s="529"/>
      <c r="D24" s="555"/>
    </row>
    <row r="25" spans="2:4" s="80" customFormat="1" ht="15">
      <c r="B25" s="529"/>
      <c r="D25" s="555"/>
    </row>
    <row r="26" spans="2:4" s="80" customFormat="1" ht="15">
      <c r="B26" s="529"/>
      <c r="D26" s="555"/>
    </row>
    <row r="27" spans="2:4" s="80" customFormat="1" ht="15">
      <c r="B27" s="529"/>
      <c r="D27" s="555"/>
    </row>
    <row r="28" spans="2:4" s="80" customFormat="1" ht="15">
      <c r="B28" s="529"/>
      <c r="D28" s="555"/>
    </row>
    <row r="29" spans="2:4" s="80" customFormat="1" ht="15">
      <c r="B29" s="529"/>
      <c r="D29" s="555"/>
    </row>
    <row r="30" spans="2:4" s="80" customFormat="1" ht="15">
      <c r="B30" s="529"/>
      <c r="D30" s="555"/>
    </row>
    <row r="31" spans="2:4" s="80" customFormat="1" ht="15">
      <c r="B31" s="529"/>
      <c r="D31" s="555"/>
    </row>
    <row r="32" spans="2:4" s="80" customFormat="1" ht="15">
      <c r="B32" s="529"/>
      <c r="D32" s="555"/>
    </row>
    <row r="33" spans="2:4" s="80" customFormat="1" ht="15">
      <c r="B33" s="529"/>
      <c r="D33" s="555"/>
    </row>
    <row r="34" spans="2:4" s="80" customFormat="1" ht="15">
      <c r="B34" s="529"/>
      <c r="D34" s="555"/>
    </row>
    <row r="35" spans="2:4" s="80" customFormat="1" ht="15">
      <c r="B35" s="529"/>
      <c r="D35" s="555"/>
    </row>
    <row r="36" spans="2:4" s="80" customFormat="1" ht="15">
      <c r="B36" s="529"/>
      <c r="D36" s="555"/>
    </row>
    <row r="37" spans="2:4" s="80" customFormat="1" ht="15">
      <c r="B37" s="529"/>
      <c r="D37" s="555"/>
    </row>
    <row r="38" spans="2:4" s="80" customFormat="1" ht="15">
      <c r="B38" s="529"/>
      <c r="D38" s="555"/>
    </row>
    <row r="39" spans="2:4" s="80" customFormat="1" ht="15">
      <c r="B39" s="529"/>
      <c r="D39" s="555"/>
    </row>
    <row r="40" spans="2:4" s="80" customFormat="1" ht="15">
      <c r="B40" s="529"/>
      <c r="D40" s="555"/>
    </row>
    <row r="41" spans="2:4" s="80" customFormat="1" ht="15">
      <c r="B41" s="529"/>
      <c r="D41" s="555"/>
    </row>
    <row r="42" spans="2:4" s="80" customFormat="1" ht="15">
      <c r="B42" s="529"/>
      <c r="D42" s="555"/>
    </row>
    <row r="43" spans="2:4" s="80" customFormat="1" ht="15">
      <c r="B43" s="529"/>
      <c r="D43" s="555"/>
    </row>
    <row r="44" spans="2:4" s="80" customFormat="1" ht="15">
      <c r="B44" s="529"/>
      <c r="D44" s="555"/>
    </row>
    <row r="45" spans="2:4" s="80" customFormat="1" ht="15">
      <c r="B45" s="529"/>
      <c r="D45" s="555"/>
    </row>
    <row r="46" spans="2:4" s="80" customFormat="1" ht="15">
      <c r="B46" s="529"/>
      <c r="D46" s="555"/>
    </row>
    <row r="47" spans="2:4" s="80" customFormat="1" ht="15">
      <c r="B47" s="529"/>
      <c r="D47" s="555"/>
    </row>
    <row r="48" spans="2:4" s="80" customFormat="1" ht="15">
      <c r="B48" s="529"/>
      <c r="D48" s="555"/>
    </row>
    <row r="49" spans="2:4" s="80" customFormat="1" ht="15">
      <c r="B49" s="529"/>
      <c r="D49" s="555"/>
    </row>
    <row r="50" spans="2:4" s="80" customFormat="1" ht="15">
      <c r="B50" s="529"/>
      <c r="D50" s="555"/>
    </row>
    <row r="51" spans="2:4" s="80" customFormat="1" ht="15">
      <c r="B51" s="529"/>
      <c r="D51" s="555"/>
    </row>
    <row r="52" spans="2:4" s="80" customFormat="1" ht="15">
      <c r="B52" s="529"/>
      <c r="D52" s="555"/>
    </row>
    <row r="53" spans="2:4" s="80" customFormat="1" ht="15">
      <c r="B53" s="529"/>
      <c r="D53" s="555"/>
    </row>
    <row r="54" spans="2:4" s="80" customFormat="1" ht="15">
      <c r="B54" s="529"/>
      <c r="D54" s="555"/>
    </row>
    <row r="55" spans="2:4" s="80" customFormat="1" ht="15">
      <c r="B55" s="529"/>
      <c r="D55" s="555"/>
    </row>
    <row r="56" spans="2:4" s="80" customFormat="1" ht="15">
      <c r="B56" s="529"/>
      <c r="D56" s="555"/>
    </row>
    <row r="57" spans="2:4" s="80" customFormat="1" ht="15">
      <c r="B57" s="529"/>
      <c r="D57" s="555"/>
    </row>
    <row r="58" spans="2:4" s="80" customFormat="1" ht="15">
      <c r="B58" s="529"/>
      <c r="D58" s="555"/>
    </row>
    <row r="59" spans="2:4" s="80" customFormat="1" ht="15">
      <c r="B59" s="529"/>
      <c r="D59" s="555"/>
    </row>
    <row r="60" spans="2:4" s="80" customFormat="1" ht="15">
      <c r="B60" s="529"/>
      <c r="D60" s="555"/>
    </row>
    <row r="61" spans="2:4" s="80" customFormat="1" ht="15">
      <c r="B61" s="529"/>
      <c r="D61" s="555"/>
    </row>
    <row r="62" spans="2:4" s="80" customFormat="1" ht="15">
      <c r="B62" s="529"/>
      <c r="D62" s="555"/>
    </row>
    <row r="63" spans="2:4" s="80" customFormat="1" ht="15">
      <c r="B63" s="529"/>
      <c r="D63" s="555"/>
    </row>
    <row r="64" spans="2:4" s="80" customFormat="1" ht="18.75" customHeight="1">
      <c r="B64" s="529"/>
      <c r="D64" s="555"/>
    </row>
    <row r="65" spans="2:4" s="80" customFormat="1" ht="18" customHeight="1">
      <c r="B65" s="529"/>
      <c r="D65" s="555"/>
    </row>
    <row r="66" spans="2:4" s="80" customFormat="1" ht="18" customHeight="1">
      <c r="B66" s="529"/>
      <c r="D66" s="555"/>
    </row>
    <row r="67" spans="2:4" s="80" customFormat="1" ht="18.75" customHeight="1">
      <c r="B67" s="529"/>
      <c r="D67" s="555"/>
    </row>
    <row r="68" spans="2:4" s="80" customFormat="1" ht="18.75" customHeight="1">
      <c r="B68" s="529"/>
      <c r="D68" s="555"/>
    </row>
    <row r="69" spans="2:4" s="80" customFormat="1" ht="17.25" customHeight="1">
      <c r="B69" s="529"/>
      <c r="D69" s="555"/>
    </row>
    <row r="70" spans="2:4" s="80" customFormat="1" ht="19.5" customHeight="1">
      <c r="B70" s="529"/>
      <c r="D70" s="555"/>
    </row>
    <row r="71" spans="2:4" s="80" customFormat="1" ht="19.5" customHeight="1">
      <c r="B71" s="529"/>
      <c r="D71" s="555"/>
    </row>
    <row r="72" spans="2:4" s="80" customFormat="1" ht="15">
      <c r="B72" s="529"/>
      <c r="D72" s="555"/>
    </row>
    <row r="73" spans="2:4" s="80" customFormat="1" ht="18.75" customHeight="1">
      <c r="B73" s="529"/>
      <c r="D73" s="555"/>
    </row>
    <row r="74" spans="2:4" s="80" customFormat="1" ht="18.75" customHeight="1">
      <c r="B74" s="529"/>
      <c r="D74" s="555"/>
    </row>
    <row r="75" spans="2:4" s="80" customFormat="1" ht="18.75" customHeight="1">
      <c r="B75" s="529"/>
      <c r="D75" s="555"/>
    </row>
    <row r="76" spans="2:4" s="80" customFormat="1" ht="18.75" customHeight="1">
      <c r="B76" s="529"/>
      <c r="D76" s="555"/>
    </row>
    <row r="77" spans="2:4" s="80" customFormat="1" ht="19.5" customHeight="1">
      <c r="B77" s="529"/>
      <c r="D77" s="555"/>
    </row>
    <row r="78" spans="2:4" s="80" customFormat="1" ht="15">
      <c r="B78" s="529"/>
      <c r="D78" s="555"/>
    </row>
    <row r="79" spans="2:4" s="80" customFormat="1" ht="15">
      <c r="B79" s="529"/>
      <c r="D79" s="555"/>
    </row>
    <row r="80" spans="2:4" s="80" customFormat="1" ht="15">
      <c r="B80" s="529"/>
      <c r="D80" s="555"/>
    </row>
    <row r="81" spans="2:4" s="80" customFormat="1" ht="15">
      <c r="B81" s="529"/>
      <c r="D81" s="555"/>
    </row>
    <row r="82" spans="2:4" s="80" customFormat="1" ht="15">
      <c r="B82" s="529"/>
      <c r="D82" s="555"/>
    </row>
    <row r="83" spans="2:4" s="80" customFormat="1" ht="15">
      <c r="B83" s="529"/>
      <c r="D83" s="555"/>
    </row>
    <row r="84" spans="2:4" s="80" customFormat="1" ht="15">
      <c r="B84" s="529"/>
      <c r="D84" s="555"/>
    </row>
    <row r="85" spans="2:4" s="80" customFormat="1" ht="15">
      <c r="B85" s="529"/>
      <c r="D85" s="555"/>
    </row>
    <row r="86" spans="2:4" s="80" customFormat="1" ht="15">
      <c r="B86" s="529"/>
      <c r="D86" s="555"/>
    </row>
    <row r="87" spans="2:4" s="80" customFormat="1" ht="15">
      <c r="B87" s="529"/>
      <c r="D87" s="555"/>
    </row>
    <row r="88" spans="2:4" s="80" customFormat="1" ht="15">
      <c r="B88" s="529"/>
      <c r="D88" s="555"/>
    </row>
    <row r="89" spans="2:4" s="80" customFormat="1" ht="15">
      <c r="B89" s="529"/>
      <c r="D89" s="555"/>
    </row>
    <row r="90" spans="2:4" s="80" customFormat="1" ht="15">
      <c r="B90" s="529"/>
      <c r="D90" s="555"/>
    </row>
    <row r="91" spans="2:4" s="80" customFormat="1" ht="15">
      <c r="B91" s="529"/>
      <c r="D91" s="555"/>
    </row>
    <row r="92" spans="2:4" s="80" customFormat="1" ht="15">
      <c r="B92" s="529"/>
      <c r="D92" s="555"/>
    </row>
    <row r="93" spans="2:4" s="80" customFormat="1" ht="15">
      <c r="B93" s="529"/>
      <c r="D93" s="555"/>
    </row>
    <row r="94" spans="1:5" s="80" customFormat="1" ht="18.75">
      <c r="A94" s="530"/>
      <c r="B94" s="531"/>
      <c r="C94" s="7"/>
      <c r="D94" s="530"/>
      <c r="E94" s="7"/>
    </row>
    <row r="95" spans="1:7" s="7" customFormat="1" ht="18.75">
      <c r="A95" s="530"/>
      <c r="B95" s="531"/>
      <c r="D95" s="530"/>
      <c r="G95" s="80"/>
    </row>
    <row r="96" spans="1:7" s="7" customFormat="1" ht="18.75">
      <c r="A96" s="530"/>
      <c r="B96" s="531"/>
      <c r="D96" s="530"/>
      <c r="G96" s="80"/>
    </row>
    <row r="97" spans="1:7" s="7" customFormat="1" ht="18.75">
      <c r="A97" s="530"/>
      <c r="B97" s="531"/>
      <c r="D97" s="530"/>
      <c r="G97" s="80"/>
    </row>
    <row r="98" spans="1:7" s="7" customFormat="1" ht="18.75">
      <c r="A98" s="530"/>
      <c r="B98" s="531"/>
      <c r="D98" s="530"/>
      <c r="G98" s="80"/>
    </row>
    <row r="99" spans="1:7" s="7" customFormat="1" ht="18.75">
      <c r="A99" s="530"/>
      <c r="B99" s="531"/>
      <c r="D99" s="530"/>
      <c r="G99" s="80"/>
    </row>
    <row r="100" spans="1:7" s="7" customFormat="1" ht="18.75">
      <c r="A100" s="530"/>
      <c r="B100" s="531"/>
      <c r="D100" s="530"/>
      <c r="G100" s="80"/>
    </row>
    <row r="101" spans="1:7" s="7" customFormat="1" ht="18.75">
      <c r="A101" s="530"/>
      <c r="B101" s="531"/>
      <c r="D101" s="530"/>
      <c r="G101" s="80"/>
    </row>
    <row r="102" spans="1:7" s="7" customFormat="1" ht="18.75">
      <c r="A102" s="530"/>
      <c r="B102" s="531"/>
      <c r="D102" s="530"/>
      <c r="G102" s="80"/>
    </row>
    <row r="103" spans="1:7" s="7" customFormat="1" ht="18.75">
      <c r="A103" s="530"/>
      <c r="B103" s="531"/>
      <c r="D103" s="530"/>
      <c r="G103" s="80"/>
    </row>
    <row r="104" spans="1:7" s="7" customFormat="1" ht="18.75">
      <c r="A104" s="530"/>
      <c r="B104" s="531"/>
      <c r="D104" s="530"/>
      <c r="G104" s="80"/>
    </row>
    <row r="105" spans="1:7" s="7" customFormat="1" ht="18.75">
      <c r="A105" s="530"/>
      <c r="B105" s="531"/>
      <c r="D105" s="530"/>
      <c r="G105" s="80"/>
    </row>
    <row r="106" spans="1:7" s="7" customFormat="1" ht="18.75">
      <c r="A106" s="530"/>
      <c r="B106" s="531"/>
      <c r="D106" s="530"/>
      <c r="G106" s="80"/>
    </row>
    <row r="107" spans="1:7" s="7" customFormat="1" ht="18.75">
      <c r="A107" s="530"/>
      <c r="B107" s="531"/>
      <c r="D107" s="530"/>
      <c r="G107" s="80"/>
    </row>
    <row r="108" spans="1:7" s="7" customFormat="1" ht="18.75">
      <c r="A108" s="530"/>
      <c r="B108" s="531"/>
      <c r="D108" s="530"/>
      <c r="G108" s="80"/>
    </row>
    <row r="109" spans="1:7" s="7" customFormat="1" ht="18.75">
      <c r="A109" s="530"/>
      <c r="B109" s="531"/>
      <c r="D109" s="530"/>
      <c r="G109" s="80"/>
    </row>
    <row r="110" spans="1:7" s="7" customFormat="1" ht="18.75">
      <c r="A110" s="530"/>
      <c r="B110" s="531"/>
      <c r="D110" s="530"/>
      <c r="G110" s="80"/>
    </row>
    <row r="111" spans="1:7" s="7" customFormat="1" ht="18.75">
      <c r="A111" s="530"/>
      <c r="B111" s="531"/>
      <c r="D111" s="530"/>
      <c r="G111" s="80"/>
    </row>
    <row r="112" spans="1:7" s="7" customFormat="1" ht="18.75">
      <c r="A112" s="530"/>
      <c r="B112" s="531"/>
      <c r="D112" s="530"/>
      <c r="G112" s="80"/>
    </row>
    <row r="113" spans="1:7" s="7" customFormat="1" ht="18.75">
      <c r="A113" s="530"/>
      <c r="B113" s="531"/>
      <c r="D113" s="530"/>
      <c r="G113" s="80"/>
    </row>
    <row r="114" spans="1:7" s="7" customFormat="1" ht="18.75">
      <c r="A114" s="530"/>
      <c r="B114" s="531"/>
      <c r="D114" s="530"/>
      <c r="G114" s="80"/>
    </row>
    <row r="115" spans="1:7" s="7" customFormat="1" ht="18.75">
      <c r="A115" s="530"/>
      <c r="B115" s="531"/>
      <c r="D115" s="530"/>
      <c r="G115" s="80"/>
    </row>
    <row r="116" spans="1:7" s="7" customFormat="1" ht="18.75">
      <c r="A116" s="530"/>
      <c r="B116" s="531"/>
      <c r="D116" s="530"/>
      <c r="G116" s="80"/>
    </row>
    <row r="117" spans="1:7" s="7" customFormat="1" ht="18.75">
      <c r="A117" s="530"/>
      <c r="B117" s="531"/>
      <c r="D117" s="530"/>
      <c r="G117" s="80"/>
    </row>
    <row r="118" spans="1:7" s="7" customFormat="1" ht="18.75">
      <c r="A118" s="530"/>
      <c r="B118" s="531"/>
      <c r="D118" s="530"/>
      <c r="G118" s="80"/>
    </row>
    <row r="119" spans="1:7" s="7" customFormat="1" ht="18.75">
      <c r="A119" s="530"/>
      <c r="B119" s="531"/>
      <c r="D119" s="530"/>
      <c r="G119" s="80"/>
    </row>
    <row r="120" spans="1:7" s="7" customFormat="1" ht="18.75">
      <c r="A120" s="530"/>
      <c r="B120" s="531"/>
      <c r="D120" s="530"/>
      <c r="G120" s="80"/>
    </row>
    <row r="121" spans="1:7" s="7" customFormat="1" ht="18.75">
      <c r="A121" s="530"/>
      <c r="B121" s="531"/>
      <c r="D121" s="530"/>
      <c r="G121" s="80"/>
    </row>
    <row r="122" spans="1:7" s="7" customFormat="1" ht="18.75">
      <c r="A122" s="530"/>
      <c r="B122" s="531"/>
      <c r="D122" s="530"/>
      <c r="G122" s="80"/>
    </row>
    <row r="123" spans="1:7" s="7" customFormat="1" ht="18.75">
      <c r="A123" s="530"/>
      <c r="B123" s="531"/>
      <c r="D123" s="530"/>
      <c r="G123" s="80"/>
    </row>
    <row r="124" spans="1:7" s="7" customFormat="1" ht="18.75">
      <c r="A124" s="530"/>
      <c r="B124" s="531"/>
      <c r="D124" s="530"/>
      <c r="G124" s="80"/>
    </row>
    <row r="125" spans="1:7" s="7" customFormat="1" ht="18.75">
      <c r="A125" s="530"/>
      <c r="B125" s="531"/>
      <c r="D125" s="530"/>
      <c r="G125" s="80"/>
    </row>
    <row r="126" spans="1:7" s="7" customFormat="1" ht="18.75">
      <c r="A126" s="530"/>
      <c r="B126" s="531"/>
      <c r="D126" s="530"/>
      <c r="G126" s="80"/>
    </row>
    <row r="127" spans="1:7" s="7" customFormat="1" ht="18.75">
      <c r="A127" s="530"/>
      <c r="B127" s="531"/>
      <c r="D127" s="530"/>
      <c r="G127" s="80"/>
    </row>
    <row r="128" spans="1:7" s="7" customFormat="1" ht="18.75">
      <c r="A128" s="530"/>
      <c r="B128" s="531"/>
      <c r="D128" s="530"/>
      <c r="G128" s="80"/>
    </row>
    <row r="129" spans="1:7" s="7" customFormat="1" ht="18.75">
      <c r="A129" s="530"/>
      <c r="B129" s="531"/>
      <c r="D129" s="530"/>
      <c r="G129" s="80"/>
    </row>
    <row r="130" spans="1:7" s="7" customFormat="1" ht="18.75">
      <c r="A130" s="530"/>
      <c r="B130" s="531"/>
      <c r="D130" s="530"/>
      <c r="G130" s="80"/>
    </row>
    <row r="131" spans="1:7" s="7" customFormat="1" ht="18.75">
      <c r="A131" s="530"/>
      <c r="B131" s="531"/>
      <c r="D131" s="530"/>
      <c r="G131" s="80"/>
    </row>
    <row r="132" spans="1:7" s="7" customFormat="1" ht="18.75">
      <c r="A132" s="530"/>
      <c r="B132" s="531"/>
      <c r="D132" s="530"/>
      <c r="G132" s="80"/>
    </row>
    <row r="133" spans="1:7" s="7" customFormat="1" ht="18.75">
      <c r="A133" s="530"/>
      <c r="B133" s="531"/>
      <c r="D133" s="530"/>
      <c r="G133" s="80"/>
    </row>
    <row r="134" spans="1:7" s="7" customFormat="1" ht="18.75">
      <c r="A134" s="530"/>
      <c r="B134" s="531"/>
      <c r="D134" s="530"/>
      <c r="G134" s="80"/>
    </row>
    <row r="135" spans="1:7" s="7" customFormat="1" ht="18.75">
      <c r="A135" s="530"/>
      <c r="B135" s="531"/>
      <c r="D135" s="530"/>
      <c r="G135" s="80"/>
    </row>
    <row r="136" spans="1:7" s="7" customFormat="1" ht="18.75">
      <c r="A136" s="530"/>
      <c r="B136" s="531"/>
      <c r="D136" s="530"/>
      <c r="G136" s="80"/>
    </row>
    <row r="137" spans="1:7" s="7" customFormat="1" ht="18.75">
      <c r="A137" s="530"/>
      <c r="B137" s="531"/>
      <c r="D137" s="530"/>
      <c r="G137" s="80"/>
    </row>
    <row r="138" spans="1:7" s="7" customFormat="1" ht="18.75">
      <c r="A138" s="530"/>
      <c r="B138" s="531"/>
      <c r="D138" s="530"/>
      <c r="G138" s="80"/>
    </row>
    <row r="139" spans="1:7" s="7" customFormat="1" ht="18.75">
      <c r="A139" s="530"/>
      <c r="B139" s="531"/>
      <c r="D139" s="530"/>
      <c r="G139" s="80"/>
    </row>
    <row r="140" spans="1:7" s="7" customFormat="1" ht="18.75">
      <c r="A140" s="530"/>
      <c r="B140" s="531"/>
      <c r="D140" s="530"/>
      <c r="G140" s="80"/>
    </row>
    <row r="141" spans="1:7" s="7" customFormat="1" ht="18.75">
      <c r="A141" s="530"/>
      <c r="B141" s="531"/>
      <c r="D141" s="530"/>
      <c r="G141" s="80"/>
    </row>
    <row r="142" spans="1:7" s="7" customFormat="1" ht="18.75">
      <c r="A142" s="530"/>
      <c r="B142" s="531"/>
      <c r="D142" s="530"/>
      <c r="G142" s="80"/>
    </row>
    <row r="143" spans="1:7" s="7" customFormat="1" ht="18.75">
      <c r="A143" s="530"/>
      <c r="B143" s="531"/>
      <c r="D143" s="530"/>
      <c r="G143" s="80"/>
    </row>
    <row r="144" spans="1:7" s="7" customFormat="1" ht="18.75">
      <c r="A144" s="530"/>
      <c r="B144" s="531"/>
      <c r="D144" s="530"/>
      <c r="G144" s="80"/>
    </row>
    <row r="145" spans="1:7" s="7" customFormat="1" ht="18.75">
      <c r="A145" s="530"/>
      <c r="B145" s="531"/>
      <c r="D145" s="530"/>
      <c r="G145" s="80"/>
    </row>
    <row r="146" spans="1:7" s="7" customFormat="1" ht="18.75">
      <c r="A146" s="530"/>
      <c r="B146" s="531"/>
      <c r="D146" s="530"/>
      <c r="G146" s="80"/>
    </row>
    <row r="147" spans="1:7" s="7" customFormat="1" ht="18.75">
      <c r="A147" s="530"/>
      <c r="B147" s="531"/>
      <c r="D147" s="530"/>
      <c r="G147" s="80"/>
    </row>
    <row r="148" spans="1:7" s="7" customFormat="1" ht="18.75">
      <c r="A148" s="530"/>
      <c r="B148" s="531"/>
      <c r="D148" s="530"/>
      <c r="G148" s="80"/>
    </row>
    <row r="149" spans="1:7" s="7" customFormat="1" ht="18.75">
      <c r="A149" s="530"/>
      <c r="B149" s="531"/>
      <c r="D149" s="530"/>
      <c r="G149" s="80"/>
    </row>
    <row r="150" spans="1:7" s="7" customFormat="1" ht="18.75">
      <c r="A150" s="530"/>
      <c r="B150" s="531"/>
      <c r="D150" s="530"/>
      <c r="G150" s="80"/>
    </row>
    <row r="151" spans="1:7" s="7" customFormat="1" ht="18.75">
      <c r="A151" s="530"/>
      <c r="B151" s="531"/>
      <c r="D151" s="530"/>
      <c r="G151" s="80"/>
    </row>
    <row r="152" spans="1:7" s="7" customFormat="1" ht="18.75">
      <c r="A152" s="530"/>
      <c r="B152" s="531"/>
      <c r="D152" s="530"/>
      <c r="G152" s="80"/>
    </row>
    <row r="153" spans="1:7" s="7" customFormat="1" ht="18.75">
      <c r="A153" s="530"/>
      <c r="B153" s="531"/>
      <c r="D153" s="530"/>
      <c r="G153" s="80"/>
    </row>
    <row r="154" spans="1:7" s="7" customFormat="1" ht="18.75">
      <c r="A154" s="530"/>
      <c r="B154" s="531"/>
      <c r="D154" s="530"/>
      <c r="G154" s="80"/>
    </row>
    <row r="155" spans="1:7" s="7" customFormat="1" ht="18.75">
      <c r="A155" s="530"/>
      <c r="B155" s="531"/>
      <c r="D155" s="530"/>
      <c r="G155" s="80"/>
    </row>
    <row r="156" spans="1:7" s="7" customFormat="1" ht="18.75">
      <c r="A156" s="530"/>
      <c r="B156" s="531"/>
      <c r="D156" s="530"/>
      <c r="G156" s="80"/>
    </row>
    <row r="157" spans="1:7" s="7" customFormat="1" ht="18.75">
      <c r="A157" s="530"/>
      <c r="B157" s="531"/>
      <c r="D157" s="530"/>
      <c r="G157" s="80"/>
    </row>
    <row r="158" spans="1:7" s="7" customFormat="1" ht="18.75">
      <c r="A158" s="530"/>
      <c r="B158" s="531"/>
      <c r="D158" s="530"/>
      <c r="G158" s="80"/>
    </row>
    <row r="159" spans="1:7" s="7" customFormat="1" ht="18.75">
      <c r="A159" s="530"/>
      <c r="B159" s="531"/>
      <c r="D159" s="530"/>
      <c r="G159" s="80"/>
    </row>
    <row r="160" spans="1:7" s="7" customFormat="1" ht="18.75">
      <c r="A160" s="530"/>
      <c r="B160" s="531"/>
      <c r="D160" s="530"/>
      <c r="G160" s="80"/>
    </row>
    <row r="161" spans="1:7" s="7" customFormat="1" ht="18.75">
      <c r="A161" s="530"/>
      <c r="B161" s="531"/>
      <c r="D161" s="530"/>
      <c r="G161" s="80"/>
    </row>
    <row r="162" spans="1:7" s="7" customFormat="1" ht="18.75">
      <c r="A162" s="530"/>
      <c r="B162" s="531"/>
      <c r="D162" s="530"/>
      <c r="G162" s="80"/>
    </row>
    <row r="163" spans="1:7" s="7" customFormat="1" ht="18.75">
      <c r="A163" s="530"/>
      <c r="B163" s="531"/>
      <c r="D163" s="530"/>
      <c r="G163" s="80"/>
    </row>
    <row r="164" spans="1:7" s="7" customFormat="1" ht="18.75">
      <c r="A164" s="530"/>
      <c r="B164" s="531"/>
      <c r="D164" s="530"/>
      <c r="G164" s="80"/>
    </row>
    <row r="165" spans="1:7" s="7" customFormat="1" ht="18.75">
      <c r="A165" s="530"/>
      <c r="B165" s="531"/>
      <c r="D165" s="530"/>
      <c r="G165" s="80"/>
    </row>
    <row r="166" spans="1:7" s="7" customFormat="1" ht="18.75">
      <c r="A166" s="530"/>
      <c r="B166" s="531"/>
      <c r="D166" s="530"/>
      <c r="G166" s="80"/>
    </row>
    <row r="167" spans="1:7" s="7" customFormat="1" ht="18.75">
      <c r="A167" s="530"/>
      <c r="B167" s="531"/>
      <c r="D167" s="530"/>
      <c r="G167" s="80"/>
    </row>
    <row r="168" spans="1:7" s="7" customFormat="1" ht="18.75">
      <c r="A168" s="517"/>
      <c r="B168" s="526"/>
      <c r="C168" s="519"/>
      <c r="D168" s="517"/>
      <c r="E168" s="519"/>
      <c r="G168" s="80"/>
    </row>
    <row r="169" spans="1:7" s="7" customFormat="1" ht="18.75">
      <c r="A169" s="517"/>
      <c r="B169" s="526"/>
      <c r="C169" s="519"/>
      <c r="D169" s="517"/>
      <c r="E169" s="519"/>
      <c r="G169" s="80"/>
    </row>
    <row r="170" spans="1:7" s="7" customFormat="1" ht="18.75">
      <c r="A170" s="517"/>
      <c r="B170" s="526"/>
      <c r="C170" s="519"/>
      <c r="D170" s="517"/>
      <c r="E170" s="519"/>
      <c r="G170" s="80"/>
    </row>
    <row r="171" spans="1:7" s="7" customFormat="1" ht="18.75">
      <c r="A171" s="517"/>
      <c r="B171" s="526"/>
      <c r="C171" s="519"/>
      <c r="D171" s="517"/>
      <c r="E171" s="519"/>
      <c r="G171" s="80"/>
    </row>
    <row r="172" spans="1:7" s="7" customFormat="1" ht="18.75">
      <c r="A172" s="517"/>
      <c r="B172" s="526"/>
      <c r="C172" s="519"/>
      <c r="D172" s="517"/>
      <c r="E172" s="519"/>
      <c r="G172" s="80"/>
    </row>
    <row r="173" spans="1:7" s="7" customFormat="1" ht="18.75">
      <c r="A173" s="517"/>
      <c r="B173" s="526"/>
      <c r="C173" s="519"/>
      <c r="D173" s="517"/>
      <c r="E173" s="519"/>
      <c r="G173" s="80"/>
    </row>
    <row r="174" spans="1:7" s="7" customFormat="1" ht="18.75">
      <c r="A174" s="517"/>
      <c r="B174" s="526"/>
      <c r="C174" s="519"/>
      <c r="D174" s="517"/>
      <c r="E174" s="519"/>
      <c r="G174" s="80"/>
    </row>
    <row r="175" spans="1:7" s="7" customFormat="1" ht="18.75">
      <c r="A175" s="517"/>
      <c r="B175" s="526"/>
      <c r="C175" s="519"/>
      <c r="D175" s="517"/>
      <c r="E175" s="519"/>
      <c r="G175" s="80"/>
    </row>
    <row r="176" spans="1:7" s="7" customFormat="1" ht="18.75">
      <c r="A176" s="517"/>
      <c r="B176" s="526"/>
      <c r="C176" s="519"/>
      <c r="D176" s="517"/>
      <c r="E176" s="519"/>
      <c r="G176" s="80"/>
    </row>
    <row r="177" spans="1:7" s="7" customFormat="1" ht="18.75">
      <c r="A177" s="517"/>
      <c r="B177" s="526"/>
      <c r="C177" s="519"/>
      <c r="D177" s="517"/>
      <c r="E177" s="519"/>
      <c r="G177" s="80"/>
    </row>
    <row r="178" spans="1:7" s="7" customFormat="1" ht="18.75">
      <c r="A178" s="517"/>
      <c r="B178" s="526"/>
      <c r="C178" s="519"/>
      <c r="D178" s="517"/>
      <c r="E178" s="519"/>
      <c r="G178" s="80"/>
    </row>
    <row r="179" spans="1:7" s="7" customFormat="1" ht="18.75">
      <c r="A179" s="517"/>
      <c r="B179" s="526"/>
      <c r="C179" s="519"/>
      <c r="D179" s="517"/>
      <c r="E179" s="519"/>
      <c r="G179" s="80"/>
    </row>
    <row r="180" spans="1:7" s="7" customFormat="1" ht="18.75">
      <c r="A180" s="517"/>
      <c r="B180" s="526"/>
      <c r="C180" s="519"/>
      <c r="D180" s="517"/>
      <c r="E180" s="519"/>
      <c r="G180" s="80"/>
    </row>
    <row r="181" spans="1:7" s="7" customFormat="1" ht="18.75">
      <c r="A181" s="517"/>
      <c r="B181" s="526"/>
      <c r="C181" s="519"/>
      <c r="D181" s="517"/>
      <c r="E181" s="519"/>
      <c r="G181" s="80"/>
    </row>
    <row r="182" spans="1:7" s="7" customFormat="1" ht="18.75">
      <c r="A182" s="517"/>
      <c r="B182" s="526"/>
      <c r="C182" s="519"/>
      <c r="D182" s="517"/>
      <c r="E182" s="519"/>
      <c r="G182" s="80"/>
    </row>
    <row r="183" spans="1:7" s="7" customFormat="1" ht="18.75">
      <c r="A183" s="517"/>
      <c r="B183" s="526"/>
      <c r="C183" s="519"/>
      <c r="D183" s="517"/>
      <c r="E183" s="519"/>
      <c r="G183" s="80"/>
    </row>
    <row r="184" spans="1:7" s="7" customFormat="1" ht="18.75">
      <c r="A184" s="517"/>
      <c r="B184" s="526"/>
      <c r="C184" s="519"/>
      <c r="D184" s="517"/>
      <c r="E184" s="519"/>
      <c r="G184" s="80"/>
    </row>
    <row r="185" spans="1:7" s="7" customFormat="1" ht="18.75">
      <c r="A185" s="517"/>
      <c r="B185" s="526"/>
      <c r="C185" s="519"/>
      <c r="D185" s="517"/>
      <c r="E185" s="519"/>
      <c r="G185" s="80"/>
    </row>
    <row r="186" spans="1:7" s="7" customFormat="1" ht="18.75">
      <c r="A186" s="517"/>
      <c r="B186" s="526"/>
      <c r="C186" s="519"/>
      <c r="D186" s="517"/>
      <c r="E186" s="519"/>
      <c r="G186" s="80"/>
    </row>
    <row r="187" spans="1:7" s="7" customFormat="1" ht="18.75">
      <c r="A187" s="517"/>
      <c r="B187" s="526"/>
      <c r="C187" s="519"/>
      <c r="D187" s="517"/>
      <c r="E187" s="519"/>
      <c r="G187" s="80"/>
    </row>
    <row r="188" spans="1:7" s="7" customFormat="1" ht="18.75">
      <c r="A188" s="517"/>
      <c r="B188" s="526"/>
      <c r="C188" s="519"/>
      <c r="D188" s="517"/>
      <c r="E188" s="519"/>
      <c r="G188" s="80"/>
    </row>
    <row r="189" spans="1:7" s="7" customFormat="1" ht="18.75">
      <c r="A189" s="517"/>
      <c r="B189" s="526"/>
      <c r="C189" s="519"/>
      <c r="D189" s="517"/>
      <c r="E189" s="519"/>
      <c r="G189" s="80"/>
    </row>
    <row r="190" spans="1:7" s="7" customFormat="1" ht="18.75">
      <c r="A190" s="517"/>
      <c r="B190" s="526"/>
      <c r="C190" s="519"/>
      <c r="D190" s="517"/>
      <c r="E190" s="519"/>
      <c r="G190" s="80"/>
    </row>
    <row r="191" spans="1:7" s="7" customFormat="1" ht="18.75">
      <c r="A191" s="517"/>
      <c r="B191" s="526"/>
      <c r="C191" s="519"/>
      <c r="D191" s="517"/>
      <c r="E191" s="519"/>
      <c r="G191" s="80"/>
    </row>
    <row r="192" spans="1:7" s="7" customFormat="1" ht="18.75">
      <c r="A192" s="517"/>
      <c r="B192" s="526"/>
      <c r="C192" s="519"/>
      <c r="D192" s="517"/>
      <c r="E192" s="519"/>
      <c r="G192" s="80"/>
    </row>
    <row r="193" spans="1:7" s="7" customFormat="1" ht="18.75">
      <c r="A193" s="517"/>
      <c r="B193" s="526"/>
      <c r="C193" s="519"/>
      <c r="D193" s="517"/>
      <c r="E193" s="519"/>
      <c r="G193" s="80"/>
    </row>
    <row r="194" spans="1:7" s="7" customFormat="1" ht="18.75">
      <c r="A194" s="517"/>
      <c r="B194" s="526"/>
      <c r="C194" s="519"/>
      <c r="D194" s="517"/>
      <c r="E194" s="519"/>
      <c r="G194" s="80"/>
    </row>
    <row r="195" spans="1:7" s="7" customFormat="1" ht="18.75">
      <c r="A195" s="517"/>
      <c r="B195" s="526"/>
      <c r="C195" s="519"/>
      <c r="D195" s="517"/>
      <c r="E195" s="519"/>
      <c r="G195" s="80"/>
    </row>
    <row r="196" spans="1:7" s="7" customFormat="1" ht="18.75">
      <c r="A196" s="517"/>
      <c r="B196" s="526"/>
      <c r="C196" s="519"/>
      <c r="D196" s="517"/>
      <c r="E196" s="519"/>
      <c r="G196" s="80"/>
    </row>
    <row r="197" spans="1:7" s="7" customFormat="1" ht="18.75">
      <c r="A197" s="517"/>
      <c r="B197" s="526"/>
      <c r="C197" s="519"/>
      <c r="D197" s="517"/>
      <c r="E197" s="519"/>
      <c r="G197" s="80"/>
    </row>
    <row r="198" spans="1:7" s="7" customFormat="1" ht="18.75">
      <c r="A198" s="517"/>
      <c r="B198" s="526"/>
      <c r="C198" s="519"/>
      <c r="D198" s="517"/>
      <c r="E198" s="519"/>
      <c r="G198" s="80"/>
    </row>
    <row r="199" spans="1:7" s="7" customFormat="1" ht="18.75">
      <c r="A199" s="517"/>
      <c r="B199" s="526"/>
      <c r="C199" s="519"/>
      <c r="D199" s="517"/>
      <c r="E199" s="519"/>
      <c r="G199" s="80"/>
    </row>
    <row r="200" spans="1:7" s="7" customFormat="1" ht="18.75">
      <c r="A200" s="517"/>
      <c r="B200" s="526"/>
      <c r="C200" s="519"/>
      <c r="D200" s="517"/>
      <c r="E200" s="519"/>
      <c r="G200" s="80"/>
    </row>
    <row r="201" spans="1:7" s="7" customFormat="1" ht="18.75">
      <c r="A201" s="517"/>
      <c r="B201" s="526"/>
      <c r="C201" s="519"/>
      <c r="D201" s="517"/>
      <c r="E201" s="519"/>
      <c r="G201" s="80"/>
    </row>
    <row r="202" spans="1:7" s="7" customFormat="1" ht="18.75">
      <c r="A202" s="517"/>
      <c r="B202" s="526"/>
      <c r="C202" s="519"/>
      <c r="D202" s="517"/>
      <c r="E202" s="519"/>
      <c r="G202" s="80"/>
    </row>
    <row r="203" spans="1:7" s="7" customFormat="1" ht="18.75">
      <c r="A203" s="517"/>
      <c r="B203" s="526"/>
      <c r="C203" s="519"/>
      <c r="D203" s="517"/>
      <c r="E203" s="519"/>
      <c r="G203" s="80"/>
    </row>
    <row r="204" spans="1:7" s="7" customFormat="1" ht="18.75">
      <c r="A204" s="517"/>
      <c r="B204" s="526"/>
      <c r="C204" s="519"/>
      <c r="D204" s="517"/>
      <c r="E204" s="519"/>
      <c r="G204" s="80"/>
    </row>
    <row r="205" spans="1:7" s="7" customFormat="1" ht="18.75">
      <c r="A205" s="517"/>
      <c r="B205" s="526"/>
      <c r="C205" s="519"/>
      <c r="D205" s="517"/>
      <c r="E205" s="519"/>
      <c r="G205" s="80"/>
    </row>
    <row r="206" spans="1:7" s="7" customFormat="1" ht="18.75">
      <c r="A206" s="517"/>
      <c r="B206" s="526"/>
      <c r="C206" s="519"/>
      <c r="D206" s="517"/>
      <c r="E206" s="519"/>
      <c r="G206" s="80"/>
    </row>
    <row r="207" spans="1:7" s="7" customFormat="1" ht="18.75">
      <c r="A207" s="517"/>
      <c r="B207" s="526"/>
      <c r="C207" s="519"/>
      <c r="D207" s="517"/>
      <c r="E207" s="519"/>
      <c r="G207" s="80"/>
    </row>
    <row r="208" spans="1:7" s="7" customFormat="1" ht="18.75">
      <c r="A208" s="517"/>
      <c r="B208" s="526"/>
      <c r="C208" s="519"/>
      <c r="D208" s="517"/>
      <c r="E208" s="519"/>
      <c r="G208" s="80"/>
    </row>
    <row r="209" spans="1:7" s="7" customFormat="1" ht="18.75">
      <c r="A209" s="517"/>
      <c r="B209" s="526"/>
      <c r="C209" s="519"/>
      <c r="D209" s="517"/>
      <c r="E209" s="519"/>
      <c r="G209" s="80"/>
    </row>
    <row r="210" spans="1:7" s="7" customFormat="1" ht="18.75">
      <c r="A210" s="517"/>
      <c r="B210" s="526"/>
      <c r="C210" s="519"/>
      <c r="D210" s="517"/>
      <c r="E210" s="519"/>
      <c r="G210" s="80"/>
    </row>
    <row r="211" spans="1:7" s="7" customFormat="1" ht="18.75">
      <c r="A211" s="517"/>
      <c r="B211" s="526"/>
      <c r="C211" s="519"/>
      <c r="D211" s="517"/>
      <c r="E211" s="519"/>
      <c r="G211" s="80"/>
    </row>
    <row r="212" spans="1:7" s="7" customFormat="1" ht="18.75">
      <c r="A212" s="517"/>
      <c r="B212" s="526"/>
      <c r="C212" s="519"/>
      <c r="D212" s="517"/>
      <c r="E212" s="519"/>
      <c r="G212" s="80"/>
    </row>
    <row r="213" spans="1:7" s="7" customFormat="1" ht="18.75">
      <c r="A213" s="517"/>
      <c r="B213" s="526"/>
      <c r="C213" s="519"/>
      <c r="D213" s="517"/>
      <c r="E213" s="519"/>
      <c r="G213" s="80"/>
    </row>
    <row r="214" spans="1:7" s="7" customFormat="1" ht="18.75">
      <c r="A214" s="517"/>
      <c r="B214" s="526"/>
      <c r="C214" s="519"/>
      <c r="D214" s="517"/>
      <c r="E214" s="519"/>
      <c r="G214" s="80"/>
    </row>
    <row r="215" spans="1:7" s="7" customFormat="1" ht="18.75">
      <c r="A215" s="517"/>
      <c r="B215" s="526"/>
      <c r="C215" s="519"/>
      <c r="D215" s="517"/>
      <c r="E215" s="519"/>
      <c r="G215" s="80"/>
    </row>
    <row r="216" spans="1:7" s="7" customFormat="1" ht="18.75">
      <c r="A216" s="517"/>
      <c r="B216" s="526"/>
      <c r="C216" s="519"/>
      <c r="D216" s="517"/>
      <c r="E216" s="519"/>
      <c r="G216" s="80"/>
    </row>
    <row r="217" spans="1:7" s="7" customFormat="1" ht="18.75">
      <c r="A217" s="517"/>
      <c r="B217" s="526"/>
      <c r="C217" s="519"/>
      <c r="D217" s="517"/>
      <c r="E217" s="519"/>
      <c r="G217" s="80"/>
    </row>
    <row r="218" spans="1:7" s="7" customFormat="1" ht="18.75">
      <c r="A218" s="517"/>
      <c r="B218" s="526"/>
      <c r="C218" s="519"/>
      <c r="D218" s="517"/>
      <c r="E218" s="519"/>
      <c r="G218" s="80"/>
    </row>
    <row r="219" spans="1:7" s="7" customFormat="1" ht="18.75">
      <c r="A219" s="517"/>
      <c r="B219" s="526"/>
      <c r="C219" s="519"/>
      <c r="D219" s="517"/>
      <c r="E219" s="519"/>
      <c r="G219" s="80"/>
    </row>
    <row r="220" spans="1:7" s="7" customFormat="1" ht="18.75">
      <c r="A220" s="517"/>
      <c r="B220" s="526"/>
      <c r="C220" s="519"/>
      <c r="D220" s="517"/>
      <c r="E220" s="519"/>
      <c r="G220" s="80"/>
    </row>
    <row r="221" spans="1:7" s="7" customFormat="1" ht="18.75">
      <c r="A221" s="517"/>
      <c r="B221" s="526"/>
      <c r="C221" s="519"/>
      <c r="D221" s="517"/>
      <c r="E221" s="519"/>
      <c r="G221" s="80"/>
    </row>
    <row r="222" spans="1:7" s="7" customFormat="1" ht="18.75">
      <c r="A222" s="517"/>
      <c r="B222" s="526"/>
      <c r="C222" s="519"/>
      <c r="D222" s="517"/>
      <c r="E222" s="519"/>
      <c r="G222" s="80"/>
    </row>
    <row r="223" spans="1:7" s="7" customFormat="1" ht="18.75">
      <c r="A223" s="517"/>
      <c r="B223" s="526"/>
      <c r="C223" s="519"/>
      <c r="D223" s="517"/>
      <c r="E223" s="519"/>
      <c r="G223" s="80"/>
    </row>
    <row r="224" spans="1:7" s="7" customFormat="1" ht="18.75">
      <c r="A224" s="517"/>
      <c r="B224" s="526"/>
      <c r="C224" s="519"/>
      <c r="D224" s="517"/>
      <c r="E224" s="519"/>
      <c r="G224" s="80"/>
    </row>
    <row r="225" spans="1:7" s="7" customFormat="1" ht="18.75">
      <c r="A225" s="517"/>
      <c r="B225" s="526"/>
      <c r="C225" s="519"/>
      <c r="D225" s="517"/>
      <c r="E225" s="519"/>
      <c r="G225" s="80"/>
    </row>
    <row r="226" ht="18.75">
      <c r="F226" s="519"/>
    </row>
  </sheetData>
  <sheetProtection/>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D103"/>
  <sheetViews>
    <sheetView zoomScalePageLayoutView="0" workbookViewId="0" topLeftCell="A10">
      <selection activeCell="A11" sqref="A11:IV11"/>
    </sheetView>
  </sheetViews>
  <sheetFormatPr defaultColWidth="9.140625" defaultRowHeight="12.75"/>
  <cols>
    <col min="1" max="1" width="31.57421875" style="245" customWidth="1"/>
    <col min="2" max="2" width="3.140625" style="248" customWidth="1"/>
    <col min="3" max="3" width="90.28125" style="245" customWidth="1"/>
    <col min="4" max="16384" width="9.140625" style="245" customWidth="1"/>
  </cols>
  <sheetData>
    <row r="1" spans="1:3" ht="23.25" thickBot="1">
      <c r="A1" s="461" t="s">
        <v>388</v>
      </c>
      <c r="B1" s="990"/>
      <c r="C1" s="478"/>
    </row>
    <row r="2" spans="1:3" s="493" customFormat="1" ht="22.5" customHeight="1">
      <c r="A2" s="1218" t="s">
        <v>1</v>
      </c>
      <c r="B2" s="1268"/>
      <c r="C2" s="1218" t="s">
        <v>93</v>
      </c>
    </row>
    <row r="3" spans="1:3" s="493" customFormat="1" ht="27" customHeight="1" thickBot="1">
      <c r="A3" s="1219"/>
      <c r="B3" s="1269"/>
      <c r="C3" s="1222"/>
    </row>
    <row r="4" spans="1:3" s="917" customFormat="1" ht="26.25" customHeight="1">
      <c r="A4" s="1020" t="s">
        <v>296</v>
      </c>
      <c r="B4" s="1021"/>
      <c r="C4" s="1020" t="s">
        <v>96</v>
      </c>
    </row>
    <row r="5" spans="1:3" s="917" customFormat="1" ht="26.25" customHeight="1">
      <c r="A5" s="474" t="s">
        <v>297</v>
      </c>
      <c r="B5" s="851">
        <v>1</v>
      </c>
      <c r="C5" s="868" t="s">
        <v>324</v>
      </c>
    </row>
    <row r="6" spans="1:3" s="917" customFormat="1" ht="26.25" customHeight="1">
      <c r="A6" s="474"/>
      <c r="B6" s="851">
        <v>2</v>
      </c>
      <c r="C6" s="868" t="s">
        <v>325</v>
      </c>
    </row>
    <row r="7" spans="1:3" s="917" customFormat="1" ht="22.5" customHeight="1">
      <c r="A7" s="474"/>
      <c r="B7" s="991">
        <v>3</v>
      </c>
      <c r="C7" s="762" t="s">
        <v>323</v>
      </c>
    </row>
    <row r="8" spans="1:3" s="917" customFormat="1" ht="26.25" customHeight="1">
      <c r="A8" s="455" t="s">
        <v>140</v>
      </c>
      <c r="B8" s="851">
        <v>4</v>
      </c>
      <c r="C8" s="868" t="s">
        <v>327</v>
      </c>
    </row>
    <row r="9" spans="1:3" s="917" customFormat="1" ht="21.75">
      <c r="A9" s="469" t="s">
        <v>307</v>
      </c>
      <c r="B9" s="991"/>
      <c r="C9" s="469" t="s">
        <v>96</v>
      </c>
    </row>
    <row r="10" spans="1:3" s="928" customFormat="1" ht="21">
      <c r="A10" s="1022" t="s">
        <v>309</v>
      </c>
      <c r="B10" s="1017">
        <v>5</v>
      </c>
      <c r="C10" s="934" t="s">
        <v>326</v>
      </c>
    </row>
    <row r="11" spans="1:3" s="917" customFormat="1" ht="26.25" customHeight="1">
      <c r="A11" s="454" t="s">
        <v>298</v>
      </c>
      <c r="B11" s="993"/>
      <c r="C11" s="454" t="s">
        <v>96</v>
      </c>
    </row>
    <row r="12" spans="1:3" s="917" customFormat="1" ht="21.75">
      <c r="A12" s="455" t="s">
        <v>140</v>
      </c>
      <c r="B12" s="991">
        <v>1</v>
      </c>
      <c r="C12" s="762" t="s">
        <v>299</v>
      </c>
    </row>
    <row r="13" spans="1:3" s="917" customFormat="1" ht="21.75">
      <c r="A13" s="469" t="s">
        <v>300</v>
      </c>
      <c r="B13" s="991"/>
      <c r="C13" s="469" t="s">
        <v>95</v>
      </c>
    </row>
    <row r="14" spans="1:3" s="917" customFormat="1" ht="21.75">
      <c r="A14" s="455" t="s">
        <v>301</v>
      </c>
      <c r="B14" s="991">
        <v>2</v>
      </c>
      <c r="C14" s="764" t="s">
        <v>302</v>
      </c>
    </row>
    <row r="15" spans="1:3" s="917" customFormat="1" ht="21.75">
      <c r="A15" s="469"/>
      <c r="B15" s="991"/>
      <c r="C15" s="469" t="s">
        <v>96</v>
      </c>
    </row>
    <row r="16" spans="1:3" s="917" customFormat="1" ht="25.5" customHeight="1">
      <c r="A16" s="455" t="s">
        <v>303</v>
      </c>
      <c r="B16" s="991">
        <v>3</v>
      </c>
      <c r="C16" s="868" t="s">
        <v>304</v>
      </c>
    </row>
    <row r="17" spans="1:3" s="928" customFormat="1" ht="21">
      <c r="A17" s="455" t="s">
        <v>182</v>
      </c>
      <c r="B17" s="764">
        <v>4</v>
      </c>
      <c r="C17" s="926" t="s">
        <v>305</v>
      </c>
    </row>
    <row r="18" spans="1:3" s="928" customFormat="1" ht="25.5" customHeight="1">
      <c r="A18" s="455" t="s">
        <v>217</v>
      </c>
      <c r="B18" s="764">
        <v>5</v>
      </c>
      <c r="C18" s="926" t="s">
        <v>306</v>
      </c>
    </row>
    <row r="19" spans="1:3" s="928" customFormat="1" ht="21">
      <c r="A19" s="929"/>
      <c r="B19" s="764">
        <v>6</v>
      </c>
      <c r="C19" s="866" t="s">
        <v>322</v>
      </c>
    </row>
    <row r="20" spans="1:3" s="917" customFormat="1" ht="21.75">
      <c r="A20" s="1023" t="s">
        <v>308</v>
      </c>
      <c r="B20" s="991"/>
      <c r="C20" s="469" t="s">
        <v>96</v>
      </c>
    </row>
    <row r="21" spans="1:3" s="928" customFormat="1" ht="21">
      <c r="A21" s="1022" t="s">
        <v>309</v>
      </c>
      <c r="B21" s="1018">
        <v>7</v>
      </c>
      <c r="C21" s="1018" t="s">
        <v>310</v>
      </c>
    </row>
    <row r="22" spans="1:4" s="493" customFormat="1" ht="21.75">
      <c r="A22" s="454" t="s">
        <v>94</v>
      </c>
      <c r="B22" s="994"/>
      <c r="C22" s="454" t="s">
        <v>95</v>
      </c>
      <c r="D22" s="1002"/>
    </row>
    <row r="23" spans="1:4" s="483" customFormat="1" ht="44.25" customHeight="1">
      <c r="A23" s="456" t="s">
        <v>139</v>
      </c>
      <c r="B23" s="995">
        <v>1</v>
      </c>
      <c r="C23" s="455" t="s">
        <v>219</v>
      </c>
      <c r="D23" s="1003"/>
    </row>
    <row r="24" spans="1:4" s="483" customFormat="1" ht="21">
      <c r="A24" s="455" t="s">
        <v>140</v>
      </c>
      <c r="B24" s="483">
        <v>2</v>
      </c>
      <c r="C24" s="483" t="s">
        <v>191</v>
      </c>
      <c r="D24" s="1003"/>
    </row>
    <row r="25" spans="1:3" s="250" customFormat="1" ht="21">
      <c r="A25" s="455"/>
      <c r="B25" s="484"/>
      <c r="C25" s="469" t="s">
        <v>96</v>
      </c>
    </row>
    <row r="26" spans="1:3" s="250" customFormat="1" ht="21">
      <c r="A26" s="474" t="s">
        <v>228</v>
      </c>
      <c r="B26" s="484">
        <v>3</v>
      </c>
      <c r="C26" s="764" t="s">
        <v>289</v>
      </c>
    </row>
    <row r="27" spans="1:3" s="250" customFormat="1" ht="21">
      <c r="A27" s="456" t="s">
        <v>193</v>
      </c>
      <c r="B27" s="995">
        <v>4</v>
      </c>
      <c r="C27" s="459" t="s">
        <v>170</v>
      </c>
    </row>
    <row r="28" spans="1:3" s="250" customFormat="1" ht="21">
      <c r="A28" s="484"/>
      <c r="B28" s="995">
        <v>5</v>
      </c>
      <c r="C28" s="764" t="s">
        <v>247</v>
      </c>
    </row>
    <row r="29" spans="1:3" s="250" customFormat="1" ht="21">
      <c r="A29" s="484"/>
      <c r="B29" s="995">
        <v>6</v>
      </c>
      <c r="C29" s="764" t="s">
        <v>288</v>
      </c>
    </row>
    <row r="30" spans="1:3" s="250" customFormat="1" ht="27" customHeight="1">
      <c r="A30" s="455" t="s">
        <v>285</v>
      </c>
      <c r="B30" s="995">
        <v>7</v>
      </c>
      <c r="C30" s="764" t="s">
        <v>286</v>
      </c>
    </row>
    <row r="31" spans="1:3" s="250" customFormat="1" ht="21">
      <c r="A31" s="455" t="s">
        <v>217</v>
      </c>
      <c r="B31" s="995">
        <v>8</v>
      </c>
      <c r="C31" s="764" t="s">
        <v>284</v>
      </c>
    </row>
    <row r="32" spans="1:3" s="250" customFormat="1" ht="21">
      <c r="A32" s="1004" t="s">
        <v>364</v>
      </c>
      <c r="B32" s="1005">
        <v>9</v>
      </c>
      <c r="C32" s="934" t="s">
        <v>287</v>
      </c>
    </row>
    <row r="33" spans="1:3" s="917" customFormat="1" ht="24" customHeight="1">
      <c r="A33" s="494"/>
      <c r="B33" s="992"/>
      <c r="C33" s="466" t="s">
        <v>97</v>
      </c>
    </row>
    <row r="34" spans="1:3" s="917" customFormat="1" ht="21.75">
      <c r="A34" s="935" t="s">
        <v>321</v>
      </c>
      <c r="B34" s="993"/>
      <c r="C34" s="454" t="s">
        <v>95</v>
      </c>
    </row>
    <row r="35" spans="1:3" s="928" customFormat="1" ht="21">
      <c r="A35" s="474" t="s">
        <v>368</v>
      </c>
      <c r="B35" s="764">
        <v>1</v>
      </c>
      <c r="C35" s="764" t="s">
        <v>367</v>
      </c>
    </row>
    <row r="36" spans="1:3" s="941" customFormat="1" ht="21">
      <c r="A36" s="469" t="s">
        <v>317</v>
      </c>
      <c r="B36" s="1015"/>
      <c r="C36" s="469" t="s">
        <v>96</v>
      </c>
    </row>
    <row r="37" spans="1:3" s="928" customFormat="1" ht="21">
      <c r="A37" s="455" t="s">
        <v>139</v>
      </c>
      <c r="B37" s="851">
        <v>2</v>
      </c>
      <c r="C37" s="764" t="s">
        <v>318</v>
      </c>
    </row>
    <row r="38" spans="1:3" s="917" customFormat="1" ht="21.75">
      <c r="A38" s="469" t="s">
        <v>328</v>
      </c>
      <c r="B38" s="991"/>
      <c r="C38" s="469" t="s">
        <v>95</v>
      </c>
    </row>
    <row r="39" spans="1:3" s="917" customFormat="1" ht="21.75">
      <c r="A39" s="455" t="s">
        <v>139</v>
      </c>
      <c r="B39" s="991">
        <v>3</v>
      </c>
      <c r="C39" s="764" t="s">
        <v>329</v>
      </c>
    </row>
    <row r="40" spans="1:3" s="917" customFormat="1" ht="21.75">
      <c r="A40" s="469" t="s">
        <v>314</v>
      </c>
      <c r="B40" s="991"/>
      <c r="C40" s="469" t="s">
        <v>96</v>
      </c>
    </row>
    <row r="41" spans="1:3" s="928" customFormat="1" ht="21">
      <c r="A41" s="1016" t="s">
        <v>315</v>
      </c>
      <c r="B41" s="1017">
        <v>4</v>
      </c>
      <c r="C41" s="1018" t="s">
        <v>316</v>
      </c>
    </row>
    <row r="42" spans="1:3" s="917" customFormat="1" ht="21.75">
      <c r="A42" s="930"/>
      <c r="B42" s="996"/>
      <c r="C42" s="466" t="s">
        <v>97</v>
      </c>
    </row>
    <row r="43" spans="1:3" s="493" customFormat="1" ht="21.75">
      <c r="A43" s="454" t="s">
        <v>98</v>
      </c>
      <c r="B43" s="994"/>
      <c r="C43" s="454" t="s">
        <v>95</v>
      </c>
    </row>
    <row r="44" spans="1:3" s="481" customFormat="1" ht="40.5">
      <c r="A44" s="455" t="s">
        <v>140</v>
      </c>
      <c r="B44" s="459">
        <v>1</v>
      </c>
      <c r="C44" s="455" t="s">
        <v>155</v>
      </c>
    </row>
    <row r="45" spans="2:3" s="493" customFormat="1" ht="21.75">
      <c r="B45" s="997"/>
      <c r="C45" s="469" t="s">
        <v>96</v>
      </c>
    </row>
    <row r="46" spans="1:3" s="481" customFormat="1" ht="21">
      <c r="A46" s="455" t="s">
        <v>141</v>
      </c>
      <c r="B46" s="459">
        <v>2</v>
      </c>
      <c r="C46" s="490" t="s">
        <v>160</v>
      </c>
    </row>
    <row r="47" spans="1:3" s="481" customFormat="1" ht="21">
      <c r="A47" s="457"/>
      <c r="B47" s="459">
        <v>3</v>
      </c>
      <c r="C47" s="490" t="s">
        <v>183</v>
      </c>
    </row>
    <row r="48" spans="1:3" s="481" customFormat="1" ht="21">
      <c r="A48" s="457"/>
      <c r="B48" s="459"/>
      <c r="C48" s="609" t="s">
        <v>184</v>
      </c>
    </row>
    <row r="49" spans="1:3" s="481" customFormat="1" ht="21">
      <c r="A49" s="457"/>
      <c r="B49" s="459">
        <v>4</v>
      </c>
      <c r="C49" s="459" t="s">
        <v>189</v>
      </c>
    </row>
    <row r="50" spans="1:3" s="481" customFormat="1" ht="23.25" customHeight="1">
      <c r="A50" s="455" t="s">
        <v>246</v>
      </c>
      <c r="B50" s="459">
        <v>5</v>
      </c>
      <c r="C50" s="762" t="s">
        <v>253</v>
      </c>
    </row>
    <row r="51" spans="1:3" s="481" customFormat="1" ht="21">
      <c r="A51" s="456" t="s">
        <v>139</v>
      </c>
      <c r="B51" s="459">
        <v>6</v>
      </c>
      <c r="C51" s="459" t="s">
        <v>154</v>
      </c>
    </row>
    <row r="52" spans="1:3" s="481" customFormat="1" ht="22.5" customHeight="1">
      <c r="A52" s="457"/>
      <c r="B52" s="459">
        <v>7</v>
      </c>
      <c r="C52" s="459" t="s">
        <v>161</v>
      </c>
    </row>
    <row r="53" spans="1:3" s="481" customFormat="1" ht="22.5" customHeight="1">
      <c r="A53" s="457"/>
      <c r="B53" s="459">
        <v>8</v>
      </c>
      <c r="C53" s="481" t="s">
        <v>185</v>
      </c>
    </row>
    <row r="54" spans="1:3" s="481" customFormat="1" ht="22.5" customHeight="1">
      <c r="A54" s="457"/>
      <c r="B54" s="459">
        <v>9</v>
      </c>
      <c r="C54" s="481" t="s">
        <v>186</v>
      </c>
    </row>
    <row r="55" spans="1:3" s="481" customFormat="1" ht="22.5" customHeight="1">
      <c r="A55" s="457"/>
      <c r="B55" s="459">
        <v>10</v>
      </c>
      <c r="C55" s="481" t="s">
        <v>187</v>
      </c>
    </row>
    <row r="56" spans="1:3" s="481" customFormat="1" ht="22.5" customHeight="1">
      <c r="A56" s="457"/>
      <c r="B56" s="459">
        <v>11</v>
      </c>
      <c r="C56" s="481" t="s">
        <v>188</v>
      </c>
    </row>
    <row r="57" spans="1:3" s="481" customFormat="1" ht="21">
      <c r="A57" s="457"/>
      <c r="B57" s="459">
        <v>12</v>
      </c>
      <c r="C57" s="866" t="s">
        <v>215</v>
      </c>
    </row>
    <row r="58" spans="1:3" s="481" customFormat="1" ht="22.5" customHeight="1">
      <c r="A58" s="457"/>
      <c r="B58" s="459">
        <v>13</v>
      </c>
      <c r="C58" s="866" t="s">
        <v>240</v>
      </c>
    </row>
    <row r="59" spans="1:3" s="481" customFormat="1" ht="22.5" customHeight="1">
      <c r="A59" s="457"/>
      <c r="B59" s="459">
        <v>14</v>
      </c>
      <c r="C59" s="866" t="s">
        <v>244</v>
      </c>
    </row>
    <row r="60" spans="1:3" s="481" customFormat="1" ht="22.5" customHeight="1">
      <c r="A60" s="457"/>
      <c r="B60" s="459">
        <v>15</v>
      </c>
      <c r="C60" s="866" t="s">
        <v>245</v>
      </c>
    </row>
    <row r="61" spans="1:3" s="481" customFormat="1" ht="22.5" customHeight="1">
      <c r="A61" s="457"/>
      <c r="B61" s="459">
        <v>16</v>
      </c>
      <c r="C61" s="866" t="s">
        <v>283</v>
      </c>
    </row>
    <row r="62" spans="1:3" s="481" customFormat="1" ht="21">
      <c r="A62" s="455" t="s">
        <v>242</v>
      </c>
      <c r="B62" s="459">
        <v>17</v>
      </c>
      <c r="C62" s="762" t="s">
        <v>243</v>
      </c>
    </row>
    <row r="63" spans="1:3" s="481" customFormat="1" ht="21">
      <c r="A63" s="455" t="s">
        <v>182</v>
      </c>
      <c r="B63" s="459">
        <v>18</v>
      </c>
      <c r="C63" s="483" t="s">
        <v>190</v>
      </c>
    </row>
    <row r="64" spans="1:3" s="481" customFormat="1" ht="24" customHeight="1">
      <c r="A64" s="457" t="s">
        <v>140</v>
      </c>
      <c r="B64" s="459">
        <v>19</v>
      </c>
      <c r="C64" s="490" t="s">
        <v>169</v>
      </c>
    </row>
    <row r="65" spans="1:3" s="766" customFormat="1" ht="24" customHeight="1">
      <c r="A65" s="457"/>
      <c r="B65" s="459">
        <v>20</v>
      </c>
      <c r="C65" s="851" t="s">
        <v>281</v>
      </c>
    </row>
    <row r="66" spans="1:3" s="248" customFormat="1" ht="21">
      <c r="A66" s="483"/>
      <c r="B66" s="459">
        <v>21</v>
      </c>
      <c r="C66" s="765" t="s">
        <v>241</v>
      </c>
    </row>
    <row r="67" spans="1:3" s="248" customFormat="1" ht="21">
      <c r="A67" s="483"/>
      <c r="B67" s="459">
        <v>22</v>
      </c>
      <c r="C67" s="765" t="s">
        <v>216</v>
      </c>
    </row>
    <row r="68" spans="1:3" s="248" customFormat="1" ht="21">
      <c r="A68" s="911" t="s">
        <v>162</v>
      </c>
      <c r="B68" s="459">
        <v>23</v>
      </c>
      <c r="C68" s="765" t="s">
        <v>282</v>
      </c>
    </row>
    <row r="69" spans="1:3" s="248" customFormat="1" ht="21">
      <c r="A69" s="1006"/>
      <c r="B69" s="1007">
        <v>24</v>
      </c>
      <c r="C69" s="1008" t="s">
        <v>365</v>
      </c>
    </row>
    <row r="70" spans="1:3" s="493" customFormat="1" ht="21.75">
      <c r="A70" s="494"/>
      <c r="B70" s="998"/>
      <c r="C70" s="466" t="s">
        <v>97</v>
      </c>
    </row>
    <row r="71" spans="1:3" s="941" customFormat="1" ht="21">
      <c r="A71" s="454" t="s">
        <v>311</v>
      </c>
      <c r="B71" s="999"/>
      <c r="C71" s="454" t="s">
        <v>96</v>
      </c>
    </row>
    <row r="72" spans="1:3" s="928" customFormat="1" ht="21">
      <c r="A72" s="1010" t="s">
        <v>141</v>
      </c>
      <c r="B72" s="1017">
        <v>1</v>
      </c>
      <c r="C72" s="1018" t="s">
        <v>312</v>
      </c>
    </row>
    <row r="73" spans="1:3" s="917" customFormat="1" ht="21.75">
      <c r="A73" s="494"/>
      <c r="B73" s="992"/>
      <c r="C73" s="466" t="s">
        <v>97</v>
      </c>
    </row>
    <row r="74" spans="1:3" s="481" customFormat="1" ht="21.75">
      <c r="A74" s="454" t="s">
        <v>221</v>
      </c>
      <c r="B74" s="1009"/>
      <c r="C74" s="454" t="s">
        <v>95</v>
      </c>
    </row>
    <row r="75" spans="1:3" s="481" customFormat="1" ht="42" customHeight="1">
      <c r="A75" s="456" t="s">
        <v>100</v>
      </c>
      <c r="B75" s="995">
        <v>1</v>
      </c>
      <c r="C75" s="764" t="s">
        <v>254</v>
      </c>
    </row>
    <row r="76" spans="1:3" s="481" customFormat="1" ht="21.75">
      <c r="A76" s="469"/>
      <c r="B76" s="995"/>
      <c r="C76" s="469" t="s">
        <v>96</v>
      </c>
    </row>
    <row r="77" spans="1:3" s="483" customFormat="1" ht="21">
      <c r="A77" s="455" t="s">
        <v>141</v>
      </c>
      <c r="B77" s="995">
        <v>2</v>
      </c>
      <c r="C77" s="764" t="s">
        <v>248</v>
      </c>
    </row>
    <row r="78" spans="1:3" s="483" customFormat="1" ht="21">
      <c r="A78" s="455"/>
      <c r="B78" s="995">
        <v>3</v>
      </c>
      <c r="C78" s="764" t="s">
        <v>249</v>
      </c>
    </row>
    <row r="79" spans="1:3" s="483" customFormat="1" ht="21">
      <c r="A79" s="455"/>
      <c r="B79" s="995">
        <v>4</v>
      </c>
      <c r="C79" s="764" t="s">
        <v>290</v>
      </c>
    </row>
    <row r="80" spans="1:3" s="481" customFormat="1" ht="21">
      <c r="A80" s="456" t="s">
        <v>366</v>
      </c>
      <c r="B80" s="459">
        <v>5</v>
      </c>
      <c r="C80" s="770" t="s">
        <v>291</v>
      </c>
    </row>
    <row r="81" spans="1:3" s="481" customFormat="1" ht="21">
      <c r="A81" s="456" t="s">
        <v>139</v>
      </c>
      <c r="B81" s="995">
        <v>6</v>
      </c>
      <c r="C81" s="556" t="s">
        <v>156</v>
      </c>
    </row>
    <row r="82" spans="1:3" s="481" customFormat="1" ht="21">
      <c r="A82" s="911" t="s">
        <v>162</v>
      </c>
      <c r="B82" s="459">
        <v>7</v>
      </c>
      <c r="C82" s="770" t="s">
        <v>360</v>
      </c>
    </row>
    <row r="83" spans="1:3" s="481" customFormat="1" ht="21">
      <c r="A83" s="911"/>
      <c r="B83" s="459"/>
      <c r="C83" s="770" t="s">
        <v>361</v>
      </c>
    </row>
    <row r="84" spans="1:3" s="481" customFormat="1" ht="21">
      <c r="A84" s="911"/>
      <c r="B84" s="459">
        <v>8</v>
      </c>
      <c r="C84" s="770" t="s">
        <v>359</v>
      </c>
    </row>
    <row r="85" spans="1:3" s="481" customFormat="1" ht="21">
      <c r="A85" s="455" t="s">
        <v>252</v>
      </c>
      <c r="B85" s="459">
        <v>9</v>
      </c>
      <c r="C85" s="770" t="s">
        <v>292</v>
      </c>
    </row>
    <row r="86" spans="1:3" s="481" customFormat="1" ht="21">
      <c r="A86" s="1010"/>
      <c r="B86" s="1007">
        <v>10</v>
      </c>
      <c r="C86" s="1011" t="s">
        <v>293</v>
      </c>
    </row>
    <row r="87" spans="1:3" s="493" customFormat="1" ht="21.75">
      <c r="A87" s="501"/>
      <c r="B87" s="998"/>
      <c r="C87" s="466" t="s">
        <v>97</v>
      </c>
    </row>
    <row r="88" spans="1:3" s="917" customFormat="1" ht="21.75">
      <c r="A88" s="494"/>
      <c r="B88" s="992"/>
      <c r="C88" s="466" t="s">
        <v>97</v>
      </c>
    </row>
    <row r="89" spans="1:3" s="917" customFormat="1" ht="21.75">
      <c r="A89" s="454" t="s">
        <v>319</v>
      </c>
      <c r="B89" s="993"/>
      <c r="C89" s="942" t="s">
        <v>313</v>
      </c>
    </row>
    <row r="90" spans="1:3" s="928" customFormat="1" ht="21">
      <c r="A90" s="1010" t="s">
        <v>217</v>
      </c>
      <c r="B90" s="1017">
        <v>1</v>
      </c>
      <c r="C90" s="1018" t="s">
        <v>320</v>
      </c>
    </row>
    <row r="91" spans="1:3" s="917" customFormat="1" ht="21.75">
      <c r="A91" s="494"/>
      <c r="B91" s="996"/>
      <c r="C91" s="466"/>
    </row>
    <row r="92" spans="1:3" s="493" customFormat="1" ht="21.75">
      <c r="A92" s="454" t="s">
        <v>99</v>
      </c>
      <c r="B92" s="994"/>
      <c r="C92" s="454" t="s">
        <v>96</v>
      </c>
    </row>
    <row r="93" spans="1:3" s="493" customFormat="1" ht="21.75">
      <c r="A93" s="456" t="s">
        <v>294</v>
      </c>
      <c r="B93" s="1000">
        <v>1</v>
      </c>
      <c r="C93" s="868" t="s">
        <v>295</v>
      </c>
    </row>
    <row r="94" spans="1:3" s="483" customFormat="1" ht="21">
      <c r="A94" s="456" t="s">
        <v>100</v>
      </c>
      <c r="B94" s="995">
        <v>2</v>
      </c>
      <c r="C94" s="556" t="s">
        <v>145</v>
      </c>
    </row>
    <row r="95" spans="1:3" s="481" customFormat="1" ht="21">
      <c r="A95" s="457"/>
      <c r="B95" s="995">
        <v>3</v>
      </c>
      <c r="C95" s="867" t="s">
        <v>250</v>
      </c>
    </row>
    <row r="96" spans="1:3" s="481" customFormat="1" ht="21" customHeight="1">
      <c r="A96" s="869"/>
      <c r="B96" s="1001"/>
      <c r="C96" s="870" t="s">
        <v>251</v>
      </c>
    </row>
    <row r="97" spans="1:3" s="481" customFormat="1" ht="21">
      <c r="A97" s="1012"/>
      <c r="B97" s="1013">
        <v>4</v>
      </c>
      <c r="C97" s="1014" t="s">
        <v>101</v>
      </c>
    </row>
    <row r="98" spans="1:3" s="493" customFormat="1" ht="21.75">
      <c r="A98" s="494"/>
      <c r="B98" s="998"/>
      <c r="C98" s="466" t="s">
        <v>97</v>
      </c>
    </row>
    <row r="99" spans="1:3" s="917" customFormat="1" ht="21.75">
      <c r="A99" s="454" t="s">
        <v>362</v>
      </c>
      <c r="B99" s="993"/>
      <c r="C99" s="454" t="s">
        <v>95</v>
      </c>
    </row>
    <row r="100" spans="1:3" s="917" customFormat="1" ht="21.75">
      <c r="A100" s="1010" t="s">
        <v>139</v>
      </c>
      <c r="B100" s="1019">
        <v>1</v>
      </c>
      <c r="C100" s="1018" t="s">
        <v>363</v>
      </c>
    </row>
    <row r="101" spans="1:3" s="917" customFormat="1" ht="22.5" thickBot="1">
      <c r="A101" s="494"/>
      <c r="B101" s="992"/>
      <c r="C101" s="466" t="s">
        <v>97</v>
      </c>
    </row>
    <row r="102" spans="1:3" s="493" customFormat="1" ht="20.25" customHeight="1" thickBot="1">
      <c r="A102" s="1224" t="s">
        <v>53</v>
      </c>
      <c r="B102" s="1224"/>
      <c r="C102" s="1224"/>
    </row>
    <row r="103" ht="19.5" customHeight="1">
      <c r="A103" s="947" t="s">
        <v>165</v>
      </c>
    </row>
  </sheetData>
  <sheetProtection/>
  <mergeCells count="4">
    <mergeCell ref="A102:C102"/>
    <mergeCell ref="A2:A3"/>
    <mergeCell ref="B2:B3"/>
    <mergeCell ref="C2:C3"/>
  </mergeCells>
  <printOptions/>
  <pageMargins left="0.7086614173228347" right="0.7086614173228347" top="0.1968503937007874" bottom="0.15748031496062992"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C46"/>
  <sheetViews>
    <sheetView zoomScalePageLayoutView="0" workbookViewId="0" topLeftCell="A13">
      <selection activeCell="A1" sqref="A1:C46"/>
    </sheetView>
  </sheetViews>
  <sheetFormatPr defaultColWidth="9.140625" defaultRowHeight="12.75"/>
  <cols>
    <col min="1" max="1" width="42.8515625" style="0" customWidth="1"/>
    <col min="2" max="2" width="32.28125" style="0" customWidth="1"/>
    <col min="3" max="3" width="34.421875" style="0" customWidth="1"/>
  </cols>
  <sheetData>
    <row r="1" spans="1:3" ht="21">
      <c r="A1" s="384" t="s">
        <v>15</v>
      </c>
      <c r="B1" s="384" t="s">
        <v>62</v>
      </c>
      <c r="C1" s="384" t="s">
        <v>128</v>
      </c>
    </row>
    <row r="2" spans="1:3" ht="20.25">
      <c r="A2" s="10" t="s">
        <v>350</v>
      </c>
      <c r="B2" s="10" t="s">
        <v>416</v>
      </c>
      <c r="C2" s="10" t="s">
        <v>431</v>
      </c>
    </row>
    <row r="3" spans="1:3" ht="20.25">
      <c r="A3" s="10" t="s">
        <v>16</v>
      </c>
      <c r="B3" s="10" t="s">
        <v>417</v>
      </c>
      <c r="C3" s="10" t="s">
        <v>432</v>
      </c>
    </row>
    <row r="4" spans="1:3" ht="20.25">
      <c r="A4" s="10" t="s">
        <v>17</v>
      </c>
      <c r="B4" s="10" t="s">
        <v>144</v>
      </c>
      <c r="C4" s="10" t="s">
        <v>433</v>
      </c>
    </row>
    <row r="5" spans="1:3" ht="20.25">
      <c r="A5" s="10" t="s">
        <v>18</v>
      </c>
      <c r="B5" s="10" t="s">
        <v>418</v>
      </c>
      <c r="C5" s="10" t="s">
        <v>232</v>
      </c>
    </row>
    <row r="6" spans="1:3" ht="20.25">
      <c r="A6" s="10" t="s">
        <v>404</v>
      </c>
      <c r="B6" s="10" t="s">
        <v>419</v>
      </c>
      <c r="C6" s="10" t="s">
        <v>343</v>
      </c>
    </row>
    <row r="7" spans="1:3" ht="20.25">
      <c r="A7" s="16" t="s">
        <v>19</v>
      </c>
      <c r="B7" s="10" t="s">
        <v>352</v>
      </c>
      <c r="C7" s="10" t="s">
        <v>344</v>
      </c>
    </row>
    <row r="8" spans="1:3" ht="21">
      <c r="A8" s="384" t="s">
        <v>20</v>
      </c>
      <c r="B8" s="10" t="s">
        <v>345</v>
      </c>
      <c r="C8" s="10" t="s">
        <v>434</v>
      </c>
    </row>
    <row r="9" spans="1:3" ht="20.25">
      <c r="A9" s="10" t="s">
        <v>21</v>
      </c>
      <c r="B9" s="10" t="s">
        <v>354</v>
      </c>
      <c r="C9" s="10" t="s">
        <v>356</v>
      </c>
    </row>
    <row r="10" spans="1:3" ht="20.25">
      <c r="A10" s="10" t="s">
        <v>446</v>
      </c>
      <c r="B10" s="10" t="s">
        <v>376</v>
      </c>
      <c r="C10" s="10" t="s">
        <v>33</v>
      </c>
    </row>
    <row r="11" spans="1:3" ht="20.25">
      <c r="A11" s="16" t="s">
        <v>22</v>
      </c>
      <c r="B11" s="10" t="s">
        <v>420</v>
      </c>
      <c r="C11" s="10" t="s">
        <v>435</v>
      </c>
    </row>
    <row r="12" spans="1:3" ht="21">
      <c r="A12" s="402" t="s">
        <v>23</v>
      </c>
      <c r="B12" s="10" t="s">
        <v>35</v>
      </c>
      <c r="C12" s="10" t="s">
        <v>436</v>
      </c>
    </row>
    <row r="13" spans="1:3" ht="20.25">
      <c r="A13" s="10" t="s">
        <v>348</v>
      </c>
      <c r="B13" s="10" t="s">
        <v>199</v>
      </c>
      <c r="C13" s="16" t="s">
        <v>34</v>
      </c>
    </row>
    <row r="14" spans="1:3" ht="21">
      <c r="A14" s="10" t="s">
        <v>405</v>
      </c>
      <c r="B14" s="10" t="s">
        <v>168</v>
      </c>
      <c r="C14" s="384" t="s">
        <v>448</v>
      </c>
    </row>
    <row r="15" spans="1:3" ht="20.25">
      <c r="A15" s="10" t="s">
        <v>24</v>
      </c>
      <c r="B15" s="10" t="s">
        <v>421</v>
      </c>
      <c r="C15" s="10" t="s">
        <v>437</v>
      </c>
    </row>
    <row r="16" spans="1:3" ht="20.25">
      <c r="A16" s="10" t="s">
        <v>25</v>
      </c>
      <c r="B16" s="10" t="s">
        <v>36</v>
      </c>
      <c r="C16" s="10" t="s">
        <v>438</v>
      </c>
    </row>
    <row r="17" spans="1:3" ht="20.25">
      <c r="A17" s="10" t="s">
        <v>26</v>
      </c>
      <c r="B17" s="10" t="s">
        <v>273</v>
      </c>
      <c r="C17" s="10" t="s">
        <v>439</v>
      </c>
    </row>
    <row r="18" spans="1:3" ht="21">
      <c r="A18" s="10" t="s">
        <v>406</v>
      </c>
      <c r="B18" s="10" t="s">
        <v>200</v>
      </c>
      <c r="C18" s="384" t="s">
        <v>129</v>
      </c>
    </row>
    <row r="19" spans="1:3" ht="20.25">
      <c r="A19" s="10" t="s">
        <v>407</v>
      </c>
      <c r="B19" s="10" t="s">
        <v>200</v>
      </c>
      <c r="C19" s="10" t="s">
        <v>146</v>
      </c>
    </row>
    <row r="20" spans="1:3" ht="20.25">
      <c r="A20" s="10" t="s">
        <v>447</v>
      </c>
      <c r="B20" s="10" t="s">
        <v>37</v>
      </c>
      <c r="C20" s="10" t="s">
        <v>263</v>
      </c>
    </row>
    <row r="21" spans="1:3" ht="20.25">
      <c r="A21" s="10" t="s">
        <v>27</v>
      </c>
      <c r="B21" s="10" t="s">
        <v>347</v>
      </c>
      <c r="C21" s="10" t="s">
        <v>440</v>
      </c>
    </row>
    <row r="22" spans="1:3" ht="20.25">
      <c r="A22" s="10" t="s">
        <v>408</v>
      </c>
      <c r="B22" s="10" t="s">
        <v>422</v>
      </c>
      <c r="C22" s="10" t="s">
        <v>441</v>
      </c>
    </row>
    <row r="23" spans="1:3" ht="20.25">
      <c r="A23" s="10" t="s">
        <v>28</v>
      </c>
      <c r="B23" s="10" t="s">
        <v>423</v>
      </c>
      <c r="C23" s="10" t="s">
        <v>442</v>
      </c>
    </row>
    <row r="24" spans="1:3" ht="20.25">
      <c r="A24" s="10" t="s">
        <v>29</v>
      </c>
      <c r="B24" s="10" t="s">
        <v>38</v>
      </c>
      <c r="C24" s="10" t="s">
        <v>49</v>
      </c>
    </row>
    <row r="25" spans="1:3" ht="20.25">
      <c r="A25" s="10" t="s">
        <v>220</v>
      </c>
      <c r="B25" s="10" t="s">
        <v>39</v>
      </c>
      <c r="C25" s="10" t="s">
        <v>50</v>
      </c>
    </row>
    <row r="26" spans="1:3" ht="20.25">
      <c r="A26" s="10" t="s">
        <v>30</v>
      </c>
      <c r="B26" s="10" t="s">
        <v>424</v>
      </c>
      <c r="C26" s="10" t="s">
        <v>157</v>
      </c>
    </row>
    <row r="27" spans="1:3" ht="20.25">
      <c r="A27" s="10" t="s">
        <v>201</v>
      </c>
      <c r="B27" s="10" t="s">
        <v>355</v>
      </c>
      <c r="C27" s="10" t="s">
        <v>213</v>
      </c>
    </row>
    <row r="28" spans="1:3" ht="20.25">
      <c r="A28" s="10" t="s">
        <v>31</v>
      </c>
      <c r="B28" s="10" t="s">
        <v>40</v>
      </c>
      <c r="C28" s="10" t="s">
        <v>443</v>
      </c>
    </row>
    <row r="29" spans="1:3" ht="20.25">
      <c r="A29" s="10" t="s">
        <v>409</v>
      </c>
      <c r="B29" s="10" t="s">
        <v>41</v>
      </c>
      <c r="C29" s="10" t="s">
        <v>444</v>
      </c>
    </row>
    <row r="30" spans="1:3" ht="20.25">
      <c r="A30" s="10" t="s">
        <v>410</v>
      </c>
      <c r="B30" s="10" t="s">
        <v>42</v>
      </c>
      <c r="C30" s="10" t="s">
        <v>163</v>
      </c>
    </row>
    <row r="31" spans="1:3" ht="20.25">
      <c r="A31" s="10" t="s">
        <v>411</v>
      </c>
      <c r="B31" s="10" t="s">
        <v>425</v>
      </c>
      <c r="C31" s="10" t="s">
        <v>445</v>
      </c>
    </row>
    <row r="32" spans="1:3" ht="21">
      <c r="A32" s="384" t="s">
        <v>32</v>
      </c>
      <c r="B32" s="10" t="s">
        <v>426</v>
      </c>
      <c r="C32" s="10" t="s">
        <v>51</v>
      </c>
    </row>
    <row r="33" spans="1:3" ht="20.25">
      <c r="A33" s="10" t="s">
        <v>167</v>
      </c>
      <c r="B33" s="10" t="s">
        <v>43</v>
      </c>
      <c r="C33" s="10" t="s">
        <v>255</v>
      </c>
    </row>
    <row r="34" spans="1:3" ht="20.25">
      <c r="A34" s="10" t="s">
        <v>135</v>
      </c>
      <c r="B34" s="10" t="s">
        <v>427</v>
      </c>
      <c r="C34" s="10" t="s">
        <v>164</v>
      </c>
    </row>
    <row r="35" spans="1:3" ht="20.25">
      <c r="A35" s="10" t="s">
        <v>342</v>
      </c>
      <c r="B35" s="10" t="s">
        <v>44</v>
      </c>
      <c r="C35" s="10" t="s">
        <v>52</v>
      </c>
    </row>
    <row r="36" spans="1:3" ht="20.25">
      <c r="A36" s="10" t="s">
        <v>412</v>
      </c>
      <c r="B36" s="10" t="s">
        <v>180</v>
      </c>
      <c r="C36" s="16" t="s">
        <v>357</v>
      </c>
    </row>
    <row r="37" spans="1:2" ht="20.25">
      <c r="A37" s="10" t="s">
        <v>413</v>
      </c>
      <c r="B37" s="10" t="s">
        <v>428</v>
      </c>
    </row>
    <row r="38" spans="1:2" ht="20.25">
      <c r="A38" s="10" t="s">
        <v>414</v>
      </c>
      <c r="B38" s="10" t="s">
        <v>429</v>
      </c>
    </row>
    <row r="39" spans="1:2" ht="20.25">
      <c r="A39" s="10" t="s">
        <v>349</v>
      </c>
      <c r="B39" s="10" t="s">
        <v>45</v>
      </c>
    </row>
    <row r="40" spans="1:2" ht="20.25">
      <c r="A40" s="10" t="s">
        <v>214</v>
      </c>
      <c r="B40" s="10" t="s">
        <v>142</v>
      </c>
    </row>
    <row r="41" spans="1:2" ht="20.25">
      <c r="A41" s="10" t="s">
        <v>351</v>
      </c>
      <c r="B41" s="10" t="s">
        <v>46</v>
      </c>
    </row>
    <row r="42" spans="1:2" ht="20.25">
      <c r="A42" s="10" t="s">
        <v>341</v>
      </c>
      <c r="B42" s="10" t="s">
        <v>430</v>
      </c>
    </row>
    <row r="43" spans="1:2" ht="20.25">
      <c r="A43" s="10" t="s">
        <v>415</v>
      </c>
      <c r="B43" s="10" t="s">
        <v>353</v>
      </c>
    </row>
    <row r="44" spans="1:2" ht="20.25">
      <c r="A44" s="16" t="s">
        <v>262</v>
      </c>
      <c r="B44" s="10" t="s">
        <v>47</v>
      </c>
    </row>
    <row r="45" ht="20.25">
      <c r="B45" s="10" t="s">
        <v>48</v>
      </c>
    </row>
    <row r="46" ht="20.25">
      <c r="B46" s="16" t="s">
        <v>358</v>
      </c>
    </row>
  </sheetData>
  <sheetProtection/>
  <printOptions/>
  <pageMargins left="0" right="0" top="0.15748031496062992" bottom="0.15748031496062992"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9"/>
  </sheetPr>
  <dimension ref="A1:AN108"/>
  <sheetViews>
    <sheetView zoomScalePageLayoutView="0" workbookViewId="0" topLeftCell="A1">
      <pane xSplit="1" ySplit="3" topLeftCell="C4" activePane="bottomRight" state="frozen"/>
      <selection pane="topLeft" activeCell="L32" sqref="L32"/>
      <selection pane="topRight" activeCell="L32" sqref="L32"/>
      <selection pane="bottomLeft" activeCell="L32" sqref="L32"/>
      <selection pane="bottomRight" activeCell="C15" sqref="C15"/>
    </sheetView>
  </sheetViews>
  <sheetFormatPr defaultColWidth="9.140625" defaultRowHeight="12.75"/>
  <cols>
    <col min="1" max="1" width="34.421875" style="0" customWidth="1"/>
    <col min="2" max="2" width="5.140625" style="0" bestFit="1" customWidth="1"/>
    <col min="3" max="3" width="9.28125" style="0" bestFit="1" customWidth="1"/>
    <col min="4" max="4" width="4.140625" style="0" customWidth="1"/>
    <col min="5" max="5" width="8.421875" style="0" customWidth="1"/>
    <col min="6" max="6" width="3.8515625" style="0" customWidth="1"/>
    <col min="7" max="7" width="8.28125" style="0" bestFit="1" customWidth="1"/>
    <col min="8" max="8" width="5.140625" style="0" bestFit="1" customWidth="1"/>
    <col min="9" max="9" width="10.28125" style="0" bestFit="1" customWidth="1"/>
    <col min="10" max="10" width="4.140625" style="0" customWidth="1"/>
    <col min="11" max="11" width="8.28125" style="0" bestFit="1" customWidth="1"/>
    <col min="12" max="12" width="4.140625" style="0" customWidth="1"/>
    <col min="13" max="13" width="8.140625" style="0" customWidth="1"/>
    <col min="14" max="14" width="3.8515625" style="0" customWidth="1"/>
    <col min="15" max="15" width="8.28125" style="0" customWidth="1"/>
    <col min="16" max="16" width="3.140625" style="0" customWidth="1"/>
    <col min="17" max="17" width="8.140625" style="0" customWidth="1"/>
    <col min="18" max="18" width="3.57421875" style="0" customWidth="1"/>
    <col min="19" max="19" width="8.140625" style="0" customWidth="1"/>
    <col min="20" max="20" width="5.140625" style="0" customWidth="1"/>
    <col min="21" max="21" width="8.140625" style="0" customWidth="1"/>
    <col min="22" max="22" width="6.00390625" style="0" customWidth="1"/>
    <col min="23" max="23" width="9.140625" style="0" customWidth="1"/>
    <col min="24" max="24" width="5.00390625" style="0" customWidth="1"/>
    <col min="25" max="25" width="9.28125" style="0" bestFit="1" customWidth="1"/>
    <col min="26" max="26" width="5.140625" style="0" bestFit="1" customWidth="1"/>
    <col min="27" max="27" width="9.00390625" style="0" customWidth="1"/>
    <col min="28" max="28" width="4.140625" style="0" customWidth="1"/>
    <col min="29" max="29" width="9.28125" style="0" bestFit="1" customWidth="1"/>
    <col min="30" max="30" width="4.8515625" style="0" customWidth="1"/>
    <col min="31" max="31" width="9.28125" style="0" bestFit="1" customWidth="1"/>
    <col min="32" max="32" width="4.00390625" style="0" customWidth="1"/>
    <col min="33" max="33" width="8.28125" style="0" customWidth="1"/>
    <col min="34" max="34" width="5.00390625" style="0" customWidth="1"/>
    <col min="35" max="35" width="9.57421875" style="0" customWidth="1"/>
    <col min="36" max="36" width="3.140625" style="0" customWidth="1"/>
    <col min="37" max="37" width="8.421875" style="0" bestFit="1" customWidth="1"/>
    <col min="38" max="38" width="6.57421875" style="0" customWidth="1"/>
    <col min="39" max="39" width="10.421875" style="0" bestFit="1" customWidth="1"/>
    <col min="41" max="41" width="9.140625" style="0" customWidth="1"/>
  </cols>
  <sheetData>
    <row r="1" spans="1:39" ht="65.25" customHeight="1" thickBot="1">
      <c r="A1" s="1180" t="s">
        <v>1</v>
      </c>
      <c r="B1" s="1182" t="s">
        <v>63</v>
      </c>
      <c r="C1" s="1182"/>
      <c r="D1" s="1182" t="s">
        <v>143</v>
      </c>
      <c r="E1" s="1182"/>
      <c r="F1" s="1183" t="s">
        <v>75</v>
      </c>
      <c r="G1" s="1183"/>
      <c r="H1" s="1184" t="s">
        <v>65</v>
      </c>
      <c r="I1" s="1184"/>
      <c r="J1" s="1183" t="s">
        <v>153</v>
      </c>
      <c r="K1" s="1183"/>
      <c r="L1" s="1184" t="s">
        <v>136</v>
      </c>
      <c r="M1" s="1184"/>
      <c r="N1" s="1185" t="s">
        <v>66</v>
      </c>
      <c r="O1" s="1185"/>
      <c r="P1" s="1185" t="s">
        <v>67</v>
      </c>
      <c r="Q1" s="1185"/>
      <c r="R1" s="1184" t="s">
        <v>138</v>
      </c>
      <c r="S1" s="1184"/>
      <c r="T1" s="1186" t="s">
        <v>68</v>
      </c>
      <c r="U1" s="1186"/>
      <c r="V1" s="1186" t="s">
        <v>102</v>
      </c>
      <c r="W1" s="1186"/>
      <c r="X1" s="1187" t="s">
        <v>70</v>
      </c>
      <c r="Y1" s="1187"/>
      <c r="Z1" s="1187" t="s">
        <v>71</v>
      </c>
      <c r="AA1" s="1187"/>
      <c r="AB1" s="1187" t="s">
        <v>72</v>
      </c>
      <c r="AC1" s="1187"/>
      <c r="AD1" s="1187" t="s">
        <v>73</v>
      </c>
      <c r="AE1" s="1187"/>
      <c r="AF1" s="1187" t="s">
        <v>74</v>
      </c>
      <c r="AG1" s="1187"/>
      <c r="AH1" s="1187" t="s">
        <v>84</v>
      </c>
      <c r="AI1" s="1187"/>
      <c r="AJ1" s="1187" t="s">
        <v>218</v>
      </c>
      <c r="AK1" s="1187"/>
      <c r="AL1" s="1188" t="s">
        <v>58</v>
      </c>
      <c r="AM1" s="1188"/>
    </row>
    <row r="2" spans="1:39" ht="21.75" thickBot="1">
      <c r="A2" s="1181"/>
      <c r="B2" s="591" t="s">
        <v>10</v>
      </c>
      <c r="C2" s="845" t="s">
        <v>9</v>
      </c>
      <c r="D2" s="591" t="s">
        <v>10</v>
      </c>
      <c r="E2" s="845" t="s">
        <v>9</v>
      </c>
      <c r="F2" s="591" t="s">
        <v>10</v>
      </c>
      <c r="G2" s="592" t="s">
        <v>9</v>
      </c>
      <c r="H2" s="591" t="s">
        <v>10</v>
      </c>
      <c r="I2" s="592" t="s">
        <v>9</v>
      </c>
      <c r="J2" s="591" t="s">
        <v>10</v>
      </c>
      <c r="K2" s="592" t="s">
        <v>9</v>
      </c>
      <c r="L2" s="591" t="s">
        <v>10</v>
      </c>
      <c r="M2" s="592" t="s">
        <v>9</v>
      </c>
      <c r="N2" s="591" t="s">
        <v>10</v>
      </c>
      <c r="O2" s="592" t="s">
        <v>9</v>
      </c>
      <c r="P2" s="591" t="s">
        <v>10</v>
      </c>
      <c r="Q2" s="592" t="s">
        <v>9</v>
      </c>
      <c r="R2" s="591" t="s">
        <v>10</v>
      </c>
      <c r="S2" s="592" t="s">
        <v>9</v>
      </c>
      <c r="T2" s="591" t="s">
        <v>10</v>
      </c>
      <c r="U2" s="592" t="s">
        <v>9</v>
      </c>
      <c r="V2" s="591" t="s">
        <v>10</v>
      </c>
      <c r="W2" s="592" t="s">
        <v>9</v>
      </c>
      <c r="X2" s="591" t="s">
        <v>10</v>
      </c>
      <c r="Y2" s="592" t="s">
        <v>9</v>
      </c>
      <c r="Z2" s="591" t="s">
        <v>10</v>
      </c>
      <c r="AA2" s="592" t="s">
        <v>9</v>
      </c>
      <c r="AB2" s="591" t="s">
        <v>10</v>
      </c>
      <c r="AC2" s="592" t="s">
        <v>9</v>
      </c>
      <c r="AD2" s="591" t="s">
        <v>10</v>
      </c>
      <c r="AE2" s="592" t="s">
        <v>9</v>
      </c>
      <c r="AF2" s="591" t="s">
        <v>10</v>
      </c>
      <c r="AG2" s="592" t="s">
        <v>9</v>
      </c>
      <c r="AH2" s="591" t="s">
        <v>10</v>
      </c>
      <c r="AI2" s="592" t="s">
        <v>9</v>
      </c>
      <c r="AJ2" s="591" t="s">
        <v>10</v>
      </c>
      <c r="AK2" s="592" t="s">
        <v>9</v>
      </c>
      <c r="AL2" s="591" t="s">
        <v>10</v>
      </c>
      <c r="AM2" s="592" t="s">
        <v>9</v>
      </c>
    </row>
    <row r="3" spans="1:39" ht="21">
      <c r="A3" s="974" t="s">
        <v>61</v>
      </c>
      <c r="B3" s="414"/>
      <c r="C3" s="846"/>
      <c r="D3" s="416"/>
      <c r="E3" s="846"/>
      <c r="F3" s="416"/>
      <c r="G3" s="415"/>
      <c r="H3" s="417"/>
      <c r="I3" s="418"/>
      <c r="J3" s="417"/>
      <c r="K3" s="418"/>
      <c r="L3" s="417"/>
      <c r="M3" s="418"/>
      <c r="N3" s="417"/>
      <c r="O3" s="418"/>
      <c r="P3" s="417"/>
      <c r="Q3" s="415"/>
      <c r="R3" s="417"/>
      <c r="S3" s="418"/>
      <c r="T3" s="417"/>
      <c r="U3" s="418"/>
      <c r="V3" s="418"/>
      <c r="W3" s="418"/>
      <c r="X3" s="417"/>
      <c r="Y3" s="418"/>
      <c r="Z3" s="416"/>
      <c r="AA3" s="415"/>
      <c r="AB3" s="416"/>
      <c r="AC3" s="415"/>
      <c r="AD3" s="416"/>
      <c r="AE3" s="415"/>
      <c r="AF3" s="416"/>
      <c r="AG3" s="415"/>
      <c r="AH3" s="416"/>
      <c r="AI3" s="415"/>
      <c r="AJ3" s="416"/>
      <c r="AK3" s="415"/>
      <c r="AL3" s="416"/>
      <c r="AM3" s="418"/>
    </row>
    <row r="4" spans="1:39" ht="21">
      <c r="A4" s="10" t="s">
        <v>11</v>
      </c>
      <c r="B4" s="137">
        <v>21</v>
      </c>
      <c r="C4" s="333">
        <v>3156.2000000000003</v>
      </c>
      <c r="D4" s="12">
        <v>10</v>
      </c>
      <c r="E4" s="333">
        <v>1223.1</v>
      </c>
      <c r="F4" s="137"/>
      <c r="G4" s="333">
        <v>448.6</v>
      </c>
      <c r="H4" s="15">
        <v>4</v>
      </c>
      <c r="I4" s="835">
        <v>43483.49999999999</v>
      </c>
      <c r="J4" s="12">
        <v>15</v>
      </c>
      <c r="K4" s="368">
        <v>1232.3</v>
      </c>
      <c r="L4" s="12">
        <v>7</v>
      </c>
      <c r="M4" s="368">
        <v>366.8</v>
      </c>
      <c r="N4" s="12">
        <v>12</v>
      </c>
      <c r="O4" s="368">
        <v>1391.3</v>
      </c>
      <c r="P4" s="12"/>
      <c r="Q4" s="368"/>
      <c r="R4" s="12"/>
      <c r="S4" s="368"/>
      <c r="T4" s="12">
        <v>175</v>
      </c>
      <c r="U4" s="368">
        <v>6431</v>
      </c>
      <c r="V4" s="11">
        <v>3</v>
      </c>
      <c r="W4" s="363">
        <v>225</v>
      </c>
      <c r="X4" s="11">
        <v>53</v>
      </c>
      <c r="Y4" s="363">
        <v>6804.6</v>
      </c>
      <c r="Z4" s="11">
        <v>18</v>
      </c>
      <c r="AA4" s="363">
        <v>20443.6</v>
      </c>
      <c r="AB4" s="11"/>
      <c r="AC4" s="363"/>
      <c r="AD4" s="11">
        <v>21</v>
      </c>
      <c r="AE4" s="363">
        <v>2902.4000000000005</v>
      </c>
      <c r="AF4" s="11"/>
      <c r="AG4" s="363">
        <v>496</v>
      </c>
      <c r="AH4" s="11">
        <v>15</v>
      </c>
      <c r="AI4" s="363">
        <v>1843.5</v>
      </c>
      <c r="AJ4" s="299"/>
      <c r="AK4" s="299"/>
      <c r="AL4" s="379">
        <f aca="true" t="shared" si="0" ref="AL4:AM7">SUM(B4,D4,F4,H4,J4,L4,N4,P4,R4,T4,V4,Z4,X4,AB4,AD4,AF4,AH4,AJ4)</f>
        <v>354</v>
      </c>
      <c r="AM4" s="381">
        <f t="shared" si="0"/>
        <v>90447.9</v>
      </c>
    </row>
    <row r="5" spans="1:39" ht="21">
      <c r="A5" s="10" t="s">
        <v>12</v>
      </c>
      <c r="B5" s="137">
        <v>34</v>
      </c>
      <c r="C5" s="333">
        <v>11676.699999999999</v>
      </c>
      <c r="D5" s="12">
        <v>8</v>
      </c>
      <c r="E5" s="333">
        <v>1148.2</v>
      </c>
      <c r="F5" s="137">
        <v>1</v>
      </c>
      <c r="G5" s="333">
        <v>3298.2</v>
      </c>
      <c r="H5" s="15">
        <v>45</v>
      </c>
      <c r="I5" s="835">
        <v>54488.700000000004</v>
      </c>
      <c r="J5" s="12">
        <v>5</v>
      </c>
      <c r="K5" s="368">
        <v>255.60000000000002</v>
      </c>
      <c r="L5" s="12">
        <v>28</v>
      </c>
      <c r="M5" s="368">
        <v>1179.9</v>
      </c>
      <c r="N5" s="12"/>
      <c r="O5" s="368">
        <v>2344</v>
      </c>
      <c r="P5" s="12"/>
      <c r="Q5" s="368">
        <v>966.5</v>
      </c>
      <c r="R5" s="12">
        <v>1</v>
      </c>
      <c r="S5" s="368">
        <v>1555.4</v>
      </c>
      <c r="T5" s="12"/>
      <c r="U5" s="368"/>
      <c r="V5" s="11">
        <v>58</v>
      </c>
      <c r="W5" s="363">
        <v>22784.800000000003</v>
      </c>
      <c r="X5" s="11">
        <v>71</v>
      </c>
      <c r="Y5" s="363">
        <v>6117.299999999999</v>
      </c>
      <c r="Z5" s="11">
        <f>329+3</f>
        <v>332</v>
      </c>
      <c r="AA5" s="363">
        <f>21774.6-2231.8+2122.8</f>
        <v>21665.6</v>
      </c>
      <c r="AB5" s="11"/>
      <c r="AC5" s="363">
        <v>2684.3</v>
      </c>
      <c r="AD5" s="11">
        <v>18</v>
      </c>
      <c r="AE5" s="363">
        <v>1595.9</v>
      </c>
      <c r="AF5" s="11">
        <v>1</v>
      </c>
      <c r="AG5" s="363">
        <v>1812.1</v>
      </c>
      <c r="AH5" s="11">
        <v>20</v>
      </c>
      <c r="AI5" s="363">
        <v>4018.1</v>
      </c>
      <c r="AJ5" s="873">
        <v>2</v>
      </c>
      <c r="AK5" s="299">
        <v>606.9</v>
      </c>
      <c r="AL5" s="379">
        <f t="shared" si="0"/>
        <v>624</v>
      </c>
      <c r="AM5" s="381">
        <f t="shared" si="0"/>
        <v>138198.2</v>
      </c>
    </row>
    <row r="6" spans="1:39" ht="21">
      <c r="A6" s="10" t="s">
        <v>13</v>
      </c>
      <c r="B6" s="137">
        <v>2</v>
      </c>
      <c r="C6" s="333">
        <v>816.6</v>
      </c>
      <c r="D6" s="12">
        <v>2</v>
      </c>
      <c r="E6" s="333">
        <v>586.3</v>
      </c>
      <c r="F6" s="137"/>
      <c r="G6" s="333"/>
      <c r="H6" s="15">
        <v>41</v>
      </c>
      <c r="I6" s="835">
        <v>5104.200000000001</v>
      </c>
      <c r="J6" s="12">
        <v>5</v>
      </c>
      <c r="K6" s="368">
        <v>208.3</v>
      </c>
      <c r="L6" s="12">
        <v>7</v>
      </c>
      <c r="M6" s="368">
        <v>383.3</v>
      </c>
      <c r="N6" s="12">
        <v>22</v>
      </c>
      <c r="O6" s="368">
        <v>4734.9</v>
      </c>
      <c r="P6" s="12"/>
      <c r="Q6" s="368"/>
      <c r="R6" s="12"/>
      <c r="S6" s="368"/>
      <c r="T6" s="12"/>
      <c r="U6" s="368"/>
      <c r="V6" s="11">
        <v>7</v>
      </c>
      <c r="W6" s="363">
        <v>2100.6</v>
      </c>
      <c r="X6" s="11">
        <v>29</v>
      </c>
      <c r="Y6" s="363">
        <v>3594.5</v>
      </c>
      <c r="Z6" s="11">
        <v>15</v>
      </c>
      <c r="AA6" s="363">
        <v>2802</v>
      </c>
      <c r="AB6" s="11">
        <v>7</v>
      </c>
      <c r="AC6" s="363">
        <v>1576.1000000000001</v>
      </c>
      <c r="AD6" s="11">
        <v>100</v>
      </c>
      <c r="AE6" s="363">
        <v>10223</v>
      </c>
      <c r="AF6" s="11">
        <v>48</v>
      </c>
      <c r="AG6" s="363">
        <v>2117.8</v>
      </c>
      <c r="AH6" s="11">
        <v>22</v>
      </c>
      <c r="AI6" s="363">
        <v>1345.4</v>
      </c>
      <c r="AJ6" s="873"/>
      <c r="AK6" s="299">
        <v>490.6</v>
      </c>
      <c r="AL6" s="379">
        <f t="shared" si="0"/>
        <v>307</v>
      </c>
      <c r="AM6" s="381">
        <f t="shared" si="0"/>
        <v>36083.6</v>
      </c>
    </row>
    <row r="7" spans="1:39" ht="21">
      <c r="A7" s="16" t="s">
        <v>14</v>
      </c>
      <c r="B7" s="208">
        <v>1</v>
      </c>
      <c r="C7" s="593">
        <v>56.4</v>
      </c>
      <c r="D7" s="582">
        <v>40</v>
      </c>
      <c r="E7" s="593">
        <v>2910.5</v>
      </c>
      <c r="F7" s="208"/>
      <c r="G7" s="593"/>
      <c r="H7" s="18">
        <v>5</v>
      </c>
      <c r="I7" s="836">
        <v>4159</v>
      </c>
      <c r="J7" s="582">
        <v>5</v>
      </c>
      <c r="K7" s="583">
        <v>208.3</v>
      </c>
      <c r="L7" s="582">
        <v>9</v>
      </c>
      <c r="M7" s="583">
        <v>487.7</v>
      </c>
      <c r="N7" s="582"/>
      <c r="O7" s="583"/>
      <c r="P7" s="582"/>
      <c r="Q7" s="583"/>
      <c r="R7" s="582"/>
      <c r="S7" s="583"/>
      <c r="T7" s="582"/>
      <c r="U7" s="583"/>
      <c r="V7" s="17">
        <v>10</v>
      </c>
      <c r="W7" s="364">
        <v>633.5999999999999</v>
      </c>
      <c r="X7" s="17">
        <v>18</v>
      </c>
      <c r="Y7" s="364">
        <v>1573.2</v>
      </c>
      <c r="Z7" s="17">
        <v>19</v>
      </c>
      <c r="AA7" s="364">
        <v>963</v>
      </c>
      <c r="AB7" s="17"/>
      <c r="AC7" s="364"/>
      <c r="AD7" s="17">
        <v>1</v>
      </c>
      <c r="AE7" s="364">
        <v>119.6</v>
      </c>
      <c r="AF7" s="17"/>
      <c r="AG7" s="364"/>
      <c r="AH7" s="17">
        <v>8</v>
      </c>
      <c r="AI7" s="364">
        <v>816.4</v>
      </c>
      <c r="AJ7" s="332"/>
      <c r="AK7" s="332"/>
      <c r="AL7" s="380">
        <f t="shared" si="0"/>
        <v>116</v>
      </c>
      <c r="AM7" s="382">
        <f t="shared" si="0"/>
        <v>11927.7</v>
      </c>
    </row>
    <row r="8" spans="1:39" ht="21">
      <c r="A8" s="384" t="s">
        <v>15</v>
      </c>
      <c r="B8" s="137"/>
      <c r="C8" s="299"/>
      <c r="D8" s="11"/>
      <c r="E8" s="299"/>
      <c r="F8" s="11"/>
      <c r="G8" s="299"/>
      <c r="H8" s="11"/>
      <c r="I8" s="363"/>
      <c r="J8" s="11"/>
      <c r="K8" s="363"/>
      <c r="L8" s="11"/>
      <c r="M8" s="363"/>
      <c r="N8" s="11"/>
      <c r="O8" s="363"/>
      <c r="P8" s="11"/>
      <c r="Q8" s="363"/>
      <c r="R8" s="11"/>
      <c r="S8" s="363"/>
      <c r="T8" s="11"/>
      <c r="U8" s="363"/>
      <c r="V8" s="11"/>
      <c r="W8" s="363"/>
      <c r="X8" s="11"/>
      <c r="Y8" s="363"/>
      <c r="Z8" s="11"/>
      <c r="AA8" s="363"/>
      <c r="AB8" s="11"/>
      <c r="AC8" s="363"/>
      <c r="AD8" s="11"/>
      <c r="AE8" s="363"/>
      <c r="AF8" s="11"/>
      <c r="AG8" s="363"/>
      <c r="AH8" s="11"/>
      <c r="AI8" s="363"/>
      <c r="AJ8" s="299"/>
      <c r="AK8" s="299"/>
      <c r="AL8" s="985"/>
      <c r="AM8" s="986"/>
    </row>
    <row r="9" spans="1:39" ht="21">
      <c r="A9" s="10" t="s">
        <v>16</v>
      </c>
      <c r="B9" s="137">
        <v>8</v>
      </c>
      <c r="C9" s="299">
        <v>773.3</v>
      </c>
      <c r="D9" s="11"/>
      <c r="E9" s="299"/>
      <c r="F9" s="11"/>
      <c r="G9" s="299"/>
      <c r="H9" s="11">
        <v>18</v>
      </c>
      <c r="I9" s="363">
        <v>877.7</v>
      </c>
      <c r="J9" s="11"/>
      <c r="K9" s="363"/>
      <c r="L9" s="11"/>
      <c r="M9" s="363"/>
      <c r="N9" s="11"/>
      <c r="O9" s="363"/>
      <c r="P9" s="11"/>
      <c r="Q9" s="363"/>
      <c r="R9" s="11"/>
      <c r="S9" s="363"/>
      <c r="T9" s="11"/>
      <c r="U9" s="363"/>
      <c r="V9" s="11">
        <v>2</v>
      </c>
      <c r="W9" s="363">
        <v>130.2</v>
      </c>
      <c r="X9" s="11">
        <v>1</v>
      </c>
      <c r="Y9" s="363">
        <v>112.1</v>
      </c>
      <c r="Z9" s="11"/>
      <c r="AA9" s="363">
        <v>11.6</v>
      </c>
      <c r="AB9" s="11"/>
      <c r="AC9" s="363"/>
      <c r="AD9" s="11"/>
      <c r="AE9" s="363"/>
      <c r="AF9" s="11"/>
      <c r="AG9" s="363"/>
      <c r="AH9" s="11"/>
      <c r="AI9" s="363"/>
      <c r="AJ9" s="299"/>
      <c r="AK9" s="299"/>
      <c r="AL9" s="379">
        <f aca="true" t="shared" si="1" ref="AL9:AM12">SUM(B9,D9,F9,H9,J9,L9,N9,P9,R9,T9,V9,Z9,X9,AB9,AD9,AF9,AH9,AJ9)</f>
        <v>29</v>
      </c>
      <c r="AM9" s="381">
        <f t="shared" si="1"/>
        <v>1904.8999999999999</v>
      </c>
    </row>
    <row r="10" spans="1:39" ht="21">
      <c r="A10" s="10" t="s">
        <v>17</v>
      </c>
      <c r="B10" s="137">
        <v>15</v>
      </c>
      <c r="C10" s="299">
        <v>468.7</v>
      </c>
      <c r="D10" s="11"/>
      <c r="E10" s="299"/>
      <c r="F10" s="11"/>
      <c r="G10" s="299"/>
      <c r="H10" s="11">
        <v>10</v>
      </c>
      <c r="I10" s="363">
        <v>189.7</v>
      </c>
      <c r="J10" s="11"/>
      <c r="K10" s="363"/>
      <c r="L10" s="11"/>
      <c r="M10" s="363"/>
      <c r="N10" s="11"/>
      <c r="O10" s="363"/>
      <c r="P10" s="11"/>
      <c r="Q10" s="363"/>
      <c r="R10" s="11"/>
      <c r="S10" s="363"/>
      <c r="T10" s="11">
        <v>4</v>
      </c>
      <c r="U10" s="363">
        <v>350.9</v>
      </c>
      <c r="V10" s="11"/>
      <c r="W10" s="363"/>
      <c r="X10" s="11">
        <v>2</v>
      </c>
      <c r="Y10" s="363">
        <v>341.6</v>
      </c>
      <c r="Z10" s="11">
        <v>3</v>
      </c>
      <c r="AA10" s="363">
        <v>159.3</v>
      </c>
      <c r="AB10" s="11">
        <v>8</v>
      </c>
      <c r="AC10" s="363">
        <v>468.5</v>
      </c>
      <c r="AD10" s="11">
        <v>1</v>
      </c>
      <c r="AE10" s="363">
        <v>135.9</v>
      </c>
      <c r="AF10" s="11"/>
      <c r="AG10" s="363"/>
      <c r="AH10" s="11">
        <v>1</v>
      </c>
      <c r="AI10" s="363">
        <v>72.7</v>
      </c>
      <c r="AJ10" s="299"/>
      <c r="AK10" s="299"/>
      <c r="AL10" s="379">
        <f t="shared" si="1"/>
        <v>44</v>
      </c>
      <c r="AM10" s="381">
        <f t="shared" si="1"/>
        <v>2187.2999999999997</v>
      </c>
    </row>
    <row r="11" spans="1:39" ht="21">
      <c r="A11" s="10" t="s">
        <v>18</v>
      </c>
      <c r="B11" s="137">
        <v>12</v>
      </c>
      <c r="C11" s="299">
        <v>632</v>
      </c>
      <c r="D11" s="11"/>
      <c r="E11" s="299"/>
      <c r="F11" s="11"/>
      <c r="G11" s="299"/>
      <c r="H11" s="11">
        <v>13</v>
      </c>
      <c r="I11" s="363">
        <v>286.3</v>
      </c>
      <c r="J11" s="11"/>
      <c r="K11" s="363"/>
      <c r="L11" s="11"/>
      <c r="M11" s="363"/>
      <c r="N11" s="11"/>
      <c r="O11" s="363"/>
      <c r="P11" s="11"/>
      <c r="Q11" s="363"/>
      <c r="R11" s="11"/>
      <c r="S11" s="363"/>
      <c r="T11" s="11"/>
      <c r="U11" s="363"/>
      <c r="V11" s="11">
        <v>4</v>
      </c>
      <c r="W11" s="363">
        <v>317.2</v>
      </c>
      <c r="X11" s="11"/>
      <c r="Y11" s="363"/>
      <c r="Z11" s="11">
        <v>2</v>
      </c>
      <c r="AA11" s="363">
        <v>161.3</v>
      </c>
      <c r="AB11" s="11"/>
      <c r="AC11" s="363"/>
      <c r="AD11" s="11">
        <v>2</v>
      </c>
      <c r="AE11" s="363">
        <v>278.6</v>
      </c>
      <c r="AF11" s="11"/>
      <c r="AG11" s="363"/>
      <c r="AH11" s="11">
        <v>2</v>
      </c>
      <c r="AI11" s="363">
        <v>145.4</v>
      </c>
      <c r="AJ11" s="299"/>
      <c r="AK11" s="299"/>
      <c r="AL11" s="379">
        <f t="shared" si="1"/>
        <v>35</v>
      </c>
      <c r="AM11" s="381">
        <f t="shared" si="1"/>
        <v>1820.8000000000002</v>
      </c>
    </row>
    <row r="12" spans="1:39" ht="21">
      <c r="A12" s="16" t="s">
        <v>19</v>
      </c>
      <c r="B12" s="208"/>
      <c r="C12" s="593"/>
      <c r="D12" s="582"/>
      <c r="E12" s="593"/>
      <c r="F12" s="208"/>
      <c r="G12" s="593"/>
      <c r="H12" s="18">
        <v>11</v>
      </c>
      <c r="I12" s="836">
        <v>592.3</v>
      </c>
      <c r="J12" s="582"/>
      <c r="K12" s="583"/>
      <c r="L12" s="582"/>
      <c r="M12" s="583"/>
      <c r="N12" s="582"/>
      <c r="O12" s="583"/>
      <c r="P12" s="582"/>
      <c r="Q12" s="583"/>
      <c r="R12" s="582"/>
      <c r="S12" s="583"/>
      <c r="T12" s="582"/>
      <c r="U12" s="583"/>
      <c r="V12" s="17">
        <v>3</v>
      </c>
      <c r="W12" s="364">
        <v>321.3</v>
      </c>
      <c r="X12" s="17"/>
      <c r="Y12" s="364">
        <v>609</v>
      </c>
      <c r="Z12" s="17">
        <v>1</v>
      </c>
      <c r="AA12" s="364">
        <v>75.3</v>
      </c>
      <c r="AB12" s="17"/>
      <c r="AC12" s="364"/>
      <c r="AD12" s="17"/>
      <c r="AE12" s="364"/>
      <c r="AF12" s="17"/>
      <c r="AG12" s="364"/>
      <c r="AH12" s="17"/>
      <c r="AI12" s="364"/>
      <c r="AJ12" s="332"/>
      <c r="AK12" s="332"/>
      <c r="AL12" s="380">
        <f t="shared" si="1"/>
        <v>15</v>
      </c>
      <c r="AM12" s="382">
        <f t="shared" si="1"/>
        <v>1597.8999999999999</v>
      </c>
    </row>
    <row r="13" spans="1:39" ht="21">
      <c r="A13" s="384" t="s">
        <v>20</v>
      </c>
      <c r="B13" s="137"/>
      <c r="C13" s="299"/>
      <c r="D13" s="11"/>
      <c r="E13" s="299"/>
      <c r="F13" s="11"/>
      <c r="G13" s="299"/>
      <c r="H13" s="11"/>
      <c r="I13" s="363"/>
      <c r="J13" s="11"/>
      <c r="K13" s="363"/>
      <c r="L13" s="11"/>
      <c r="M13" s="363"/>
      <c r="N13" s="11"/>
      <c r="O13" s="363"/>
      <c r="P13" s="11"/>
      <c r="Q13" s="363"/>
      <c r="R13" s="11"/>
      <c r="S13" s="363"/>
      <c r="T13" s="11"/>
      <c r="U13" s="363"/>
      <c r="V13" s="11"/>
      <c r="W13" s="363"/>
      <c r="X13" s="11"/>
      <c r="Y13" s="363"/>
      <c r="Z13" s="11"/>
      <c r="AA13" s="363"/>
      <c r="AB13" s="11"/>
      <c r="AC13" s="363"/>
      <c r="AD13" s="11"/>
      <c r="AE13" s="363"/>
      <c r="AF13" s="11"/>
      <c r="AG13" s="363"/>
      <c r="AH13" s="11"/>
      <c r="AI13" s="363"/>
      <c r="AJ13" s="299"/>
      <c r="AK13" s="299"/>
      <c r="AL13" s="985"/>
      <c r="AM13" s="986"/>
    </row>
    <row r="14" spans="1:39" ht="21.75">
      <c r="A14" s="10" t="s">
        <v>21</v>
      </c>
      <c r="B14" s="137">
        <v>43</v>
      </c>
      <c r="C14" s="299">
        <f>631.5+146.9+157.9</f>
        <v>936.3</v>
      </c>
      <c r="D14" s="11"/>
      <c r="E14" s="299"/>
      <c r="F14" s="11"/>
      <c r="G14" s="299"/>
      <c r="H14" s="11"/>
      <c r="I14" s="363"/>
      <c r="J14" s="11"/>
      <c r="K14" s="363"/>
      <c r="L14" s="11">
        <v>6</v>
      </c>
      <c r="M14" s="363">
        <v>197.7</v>
      </c>
      <c r="N14" s="11"/>
      <c r="O14" s="363"/>
      <c r="P14" s="11"/>
      <c r="Q14" s="363"/>
      <c r="R14" s="11"/>
      <c r="S14" s="363"/>
      <c r="T14" s="11"/>
      <c r="U14" s="363"/>
      <c r="V14" s="852">
        <v>6</v>
      </c>
      <c r="W14" s="852">
        <v>254</v>
      </c>
      <c r="X14" s="11"/>
      <c r="Y14" s="363"/>
      <c r="Z14" s="11">
        <v>12</v>
      </c>
      <c r="AA14" s="363">
        <v>173</v>
      </c>
      <c r="AB14" s="11">
        <v>31</v>
      </c>
      <c r="AC14" s="363">
        <v>582.5</v>
      </c>
      <c r="AD14" s="11"/>
      <c r="AE14" s="363"/>
      <c r="AF14" s="11"/>
      <c r="AG14" s="363"/>
      <c r="AH14" s="11"/>
      <c r="AI14" s="363"/>
      <c r="AJ14" s="299"/>
      <c r="AK14" s="299"/>
      <c r="AL14" s="985">
        <f>SUM(B14,D14,F14,H14,J14,L14,N14,P14,R14,T14,V14,Z14,X14,AB14,AD14,AF14,AH14,,AJ14)</f>
        <v>98</v>
      </c>
      <c r="AM14" s="987">
        <f>SUM(C14,E14,G14,I14,K14,M14,O14,Q14,S14,U14,W14,AA14,Y14,AC14,AE14,AG14,AI14,AK14)</f>
        <v>2143.5</v>
      </c>
    </row>
    <row r="15" spans="1:39" ht="21">
      <c r="A15" s="10" t="s">
        <v>22</v>
      </c>
      <c r="B15" s="137"/>
      <c r="C15" s="299"/>
      <c r="D15" s="11"/>
      <c r="E15" s="299"/>
      <c r="F15" s="11"/>
      <c r="G15" s="299"/>
      <c r="H15" s="11"/>
      <c r="I15" s="363"/>
      <c r="J15" s="11"/>
      <c r="K15" s="363"/>
      <c r="L15" s="11"/>
      <c r="M15" s="363"/>
      <c r="N15" s="11"/>
      <c r="O15" s="363"/>
      <c r="P15" s="11"/>
      <c r="Q15" s="363"/>
      <c r="R15" s="11"/>
      <c r="S15" s="363"/>
      <c r="T15" s="11"/>
      <c r="U15" s="363"/>
      <c r="V15" s="11"/>
      <c r="W15" s="363"/>
      <c r="X15" s="11">
        <v>12</v>
      </c>
      <c r="Y15" s="363">
        <v>917.8</v>
      </c>
      <c r="Z15" s="11"/>
      <c r="AA15" s="363"/>
      <c r="AB15" s="11"/>
      <c r="AC15" s="363"/>
      <c r="AD15" s="11"/>
      <c r="AE15" s="363"/>
      <c r="AF15" s="11"/>
      <c r="AG15" s="363"/>
      <c r="AH15" s="11"/>
      <c r="AI15" s="363"/>
      <c r="AJ15" s="299"/>
      <c r="AK15" s="299"/>
      <c r="AL15" s="985">
        <f>SUM(B15,D15,F15,H15,J15,L15,N15,P15,R15,T15,V15,Z15,X15,AB15,AD15,AF15,AH15,,AJ15)</f>
        <v>12</v>
      </c>
      <c r="AM15" s="987">
        <f>SUM(C15,E15,G15,I15,K15,M15,O15,Q15,S15,U15,W15,AA15,Y15,AC15,AE15,AG15,AI15,AK15)</f>
        <v>917.8</v>
      </c>
    </row>
    <row r="16" spans="1:39" ht="21">
      <c r="A16" s="10" t="s">
        <v>446</v>
      </c>
      <c r="B16" s="208">
        <v>14</v>
      </c>
      <c r="C16" s="593">
        <v>3096.5</v>
      </c>
      <c r="D16" s="582"/>
      <c r="E16" s="593"/>
      <c r="F16" s="208">
        <v>10</v>
      </c>
      <c r="G16" s="593">
        <v>1469.9</v>
      </c>
      <c r="H16" s="18"/>
      <c r="I16" s="836"/>
      <c r="J16" s="582"/>
      <c r="K16" s="583"/>
      <c r="L16" s="582"/>
      <c r="M16" s="583"/>
      <c r="N16" s="582"/>
      <c r="O16" s="583"/>
      <c r="P16" s="582"/>
      <c r="Q16" s="583"/>
      <c r="R16" s="582"/>
      <c r="S16" s="583"/>
      <c r="T16" s="582"/>
      <c r="U16" s="583"/>
      <c r="V16" s="17"/>
      <c r="W16" s="364"/>
      <c r="X16" s="17"/>
      <c r="Y16" s="364"/>
      <c r="Z16" s="17"/>
      <c r="AA16" s="364"/>
      <c r="AB16" s="17"/>
      <c r="AC16" s="364"/>
      <c r="AD16" s="17"/>
      <c r="AE16" s="364"/>
      <c r="AF16" s="17"/>
      <c r="AG16" s="364"/>
      <c r="AH16" s="17"/>
      <c r="AI16" s="364"/>
      <c r="AJ16" s="332"/>
      <c r="AK16" s="332"/>
      <c r="AL16" s="988">
        <f>SUM(B16,D16,F16,H16,J16,L16,N16,P16,R16,T16,V16,Z16,X16,AB16,AD16,AF16,AH16,,AJ16)</f>
        <v>24</v>
      </c>
      <c r="AM16" s="989">
        <f>SUM(C16,E16,G16,I16,K16,M16,O16,Q16,S16,U16,W16,AA16,Y16,AC16,AE16,AG16,AI16,AK16)</f>
        <v>4566.4</v>
      </c>
    </row>
    <row r="17" spans="1:39" ht="21">
      <c r="A17" s="402" t="s">
        <v>23</v>
      </c>
      <c r="B17" s="137"/>
      <c r="C17" s="333"/>
      <c r="D17" s="12"/>
      <c r="E17" s="333"/>
      <c r="F17" s="137"/>
      <c r="G17" s="333"/>
      <c r="H17" s="15"/>
      <c r="I17" s="835"/>
      <c r="J17" s="12"/>
      <c r="K17" s="368"/>
      <c r="L17" s="12"/>
      <c r="M17" s="368"/>
      <c r="N17" s="12"/>
      <c r="O17" s="368"/>
      <c r="P17" s="12"/>
      <c r="Q17" s="368"/>
      <c r="R17" s="12"/>
      <c r="S17" s="368"/>
      <c r="T17" s="12"/>
      <c r="U17" s="368"/>
      <c r="V17" s="11"/>
      <c r="W17" s="363"/>
      <c r="X17" s="11"/>
      <c r="Y17" s="363"/>
      <c r="Z17" s="11"/>
      <c r="AA17" s="363"/>
      <c r="AB17" s="11"/>
      <c r="AC17" s="363"/>
      <c r="AD17" s="11"/>
      <c r="AE17" s="363"/>
      <c r="AF17" s="11"/>
      <c r="AG17" s="363"/>
      <c r="AH17" s="11"/>
      <c r="AI17" s="363"/>
      <c r="AJ17" s="299"/>
      <c r="AK17" s="299"/>
      <c r="AL17" s="985"/>
      <c r="AM17" s="986"/>
    </row>
    <row r="18" spans="1:39" ht="21">
      <c r="A18" s="10" t="s">
        <v>348</v>
      </c>
      <c r="B18" s="137">
        <v>2</v>
      </c>
      <c r="C18" s="333">
        <v>220.6</v>
      </c>
      <c r="D18" s="12"/>
      <c r="E18" s="333"/>
      <c r="F18" s="137"/>
      <c r="G18" s="333"/>
      <c r="H18" s="15"/>
      <c r="I18" s="835"/>
      <c r="J18" s="12"/>
      <c r="K18" s="368">
        <v>707.3</v>
      </c>
      <c r="L18" s="12"/>
      <c r="M18" s="368"/>
      <c r="N18" s="12"/>
      <c r="O18" s="368"/>
      <c r="P18" s="12"/>
      <c r="Q18" s="368"/>
      <c r="R18" s="12"/>
      <c r="S18" s="368"/>
      <c r="T18" s="12"/>
      <c r="U18" s="368"/>
      <c r="V18" s="11">
        <v>2</v>
      </c>
      <c r="W18" s="363">
        <v>373.4</v>
      </c>
      <c r="X18" s="11"/>
      <c r="Y18" s="363"/>
      <c r="Z18" s="11"/>
      <c r="AA18" s="363"/>
      <c r="AB18" s="11"/>
      <c r="AC18" s="363"/>
      <c r="AD18" s="11"/>
      <c r="AE18" s="363"/>
      <c r="AF18" s="11"/>
      <c r="AG18" s="363"/>
      <c r="AH18" s="11"/>
      <c r="AI18" s="363"/>
      <c r="AJ18" s="299"/>
      <c r="AK18" s="299"/>
      <c r="AL18" s="379">
        <f>SUM(B18,D18,F18,H18,J18,L18,N18,P18,R18,T18,V18,Z18,X18,AB18,AD18,AF18,AH18,AJ18)</f>
        <v>4</v>
      </c>
      <c r="AM18" s="381">
        <f>SUM(C18,E18,G18,I18,K18,M18,O18,Q18,S18,U18,W18,AA18,Y18,AC18,AE18,AG18,AI18,AK18)</f>
        <v>1301.3</v>
      </c>
    </row>
    <row r="19" spans="1:39" ht="21">
      <c r="A19" s="10" t="s">
        <v>24</v>
      </c>
      <c r="B19" s="137">
        <v>5</v>
      </c>
      <c r="C19" s="333">
        <v>796.8</v>
      </c>
      <c r="D19" s="12"/>
      <c r="E19" s="333"/>
      <c r="F19" s="137"/>
      <c r="G19" s="333"/>
      <c r="H19" s="15"/>
      <c r="I19" s="835"/>
      <c r="J19" s="12"/>
      <c r="K19" s="368"/>
      <c r="L19" s="12"/>
      <c r="M19" s="368"/>
      <c r="N19" s="12"/>
      <c r="O19" s="368"/>
      <c r="P19" s="12"/>
      <c r="Q19" s="368"/>
      <c r="R19" s="12"/>
      <c r="S19" s="368"/>
      <c r="T19" s="12"/>
      <c r="U19" s="368"/>
      <c r="V19" s="11">
        <v>2</v>
      </c>
      <c r="W19" s="363">
        <v>665.6</v>
      </c>
      <c r="X19" s="11">
        <v>1</v>
      </c>
      <c r="Y19" s="363">
        <v>53.3</v>
      </c>
      <c r="Z19" s="11">
        <v>2</v>
      </c>
      <c r="AA19" s="363">
        <v>281.2</v>
      </c>
      <c r="AB19" s="11"/>
      <c r="AC19" s="363"/>
      <c r="AD19" s="11"/>
      <c r="AE19" s="363"/>
      <c r="AF19" s="11"/>
      <c r="AG19" s="363">
        <v>816</v>
      </c>
      <c r="AH19" s="11">
        <v>2</v>
      </c>
      <c r="AI19" s="363">
        <v>145.4</v>
      </c>
      <c r="AJ19" s="299"/>
      <c r="AK19" s="299"/>
      <c r="AL19" s="379">
        <f aca="true" t="shared" si="2" ref="AL19:AL25">SUM(B19,D19,F19,H19,J19,L19,N19,P19,R19,T19,V19,Z19,X19,AB19,AD19,AF19,AH19,AJ19)</f>
        <v>12</v>
      </c>
      <c r="AM19" s="381">
        <f aca="true" t="shared" si="3" ref="AM19:AM25">SUM(C19,E19,G19,I19,K19,M19,O19,Q19,S19,U19,W19,AA19,Y19,AC19,AE19,AG19,AI19,AK19)</f>
        <v>2758.3</v>
      </c>
    </row>
    <row r="20" spans="1:39" ht="21">
      <c r="A20" s="10" t="s">
        <v>25</v>
      </c>
      <c r="B20" s="137">
        <v>3</v>
      </c>
      <c r="C20" s="333">
        <v>2218.2</v>
      </c>
      <c r="D20" s="12">
        <v>2</v>
      </c>
      <c r="E20" s="333">
        <v>648.3</v>
      </c>
      <c r="F20" s="137">
        <v>29</v>
      </c>
      <c r="G20" s="333">
        <v>1028.6</v>
      </c>
      <c r="H20" s="15">
        <v>7</v>
      </c>
      <c r="I20" s="835">
        <v>744</v>
      </c>
      <c r="J20" s="12">
        <v>1</v>
      </c>
      <c r="K20" s="368">
        <v>71.3</v>
      </c>
      <c r="L20" s="12"/>
      <c r="M20" s="368"/>
      <c r="N20" s="12">
        <v>1</v>
      </c>
      <c r="O20" s="368">
        <v>330.2</v>
      </c>
      <c r="P20" s="12">
        <v>1</v>
      </c>
      <c r="Q20" s="368">
        <v>66</v>
      </c>
      <c r="R20" s="12"/>
      <c r="S20" s="368"/>
      <c r="T20" s="12"/>
      <c r="U20" s="368"/>
      <c r="V20" s="11">
        <v>1</v>
      </c>
      <c r="W20" s="363">
        <v>390</v>
      </c>
      <c r="X20" s="11">
        <v>7</v>
      </c>
      <c r="Y20" s="363">
        <v>5957.7</v>
      </c>
      <c r="Z20" s="11">
        <v>8</v>
      </c>
      <c r="AA20" s="363">
        <v>3622.2</v>
      </c>
      <c r="AB20" s="11">
        <v>9</v>
      </c>
      <c r="AC20" s="363">
        <v>9782.4</v>
      </c>
      <c r="AD20" s="11">
        <v>2</v>
      </c>
      <c r="AE20" s="363">
        <v>1355.1</v>
      </c>
      <c r="AF20" s="11">
        <v>1</v>
      </c>
      <c r="AG20" s="363">
        <v>610.5</v>
      </c>
      <c r="AH20" s="11">
        <v>1</v>
      </c>
      <c r="AI20" s="363">
        <v>72.7</v>
      </c>
      <c r="AJ20" s="873"/>
      <c r="AK20" s="299"/>
      <c r="AL20" s="379">
        <f t="shared" si="2"/>
        <v>73</v>
      </c>
      <c r="AM20" s="381">
        <f t="shared" si="3"/>
        <v>26897.2</v>
      </c>
    </row>
    <row r="21" spans="1:39" ht="21">
      <c r="A21" s="10" t="s">
        <v>406</v>
      </c>
      <c r="B21" s="137"/>
      <c r="C21" s="333"/>
      <c r="D21" s="12"/>
      <c r="E21" s="333"/>
      <c r="F21" s="137"/>
      <c r="G21" s="333"/>
      <c r="H21" s="15"/>
      <c r="I21" s="835"/>
      <c r="J21" s="12"/>
      <c r="K21" s="368"/>
      <c r="L21" s="12"/>
      <c r="M21" s="368"/>
      <c r="N21" s="12"/>
      <c r="O21" s="368"/>
      <c r="P21" s="12"/>
      <c r="Q21" s="368"/>
      <c r="R21" s="12"/>
      <c r="S21" s="368"/>
      <c r="T21" s="12"/>
      <c r="U21" s="368"/>
      <c r="V21" s="11"/>
      <c r="W21" s="363"/>
      <c r="X21" s="11">
        <v>1</v>
      </c>
      <c r="Y21" s="363">
        <v>165</v>
      </c>
      <c r="Z21" s="11"/>
      <c r="AA21" s="363"/>
      <c r="AB21" s="11"/>
      <c r="AC21" s="363"/>
      <c r="AD21" s="11"/>
      <c r="AE21" s="363"/>
      <c r="AF21" s="11"/>
      <c r="AG21" s="363"/>
      <c r="AH21" s="11">
        <v>1</v>
      </c>
      <c r="AI21" s="363">
        <v>72.7</v>
      </c>
      <c r="AJ21" s="299"/>
      <c r="AK21" s="299"/>
      <c r="AL21" s="379">
        <f t="shared" si="2"/>
        <v>2</v>
      </c>
      <c r="AM21" s="381">
        <f t="shared" si="3"/>
        <v>237.7</v>
      </c>
    </row>
    <row r="22" spans="1:39" ht="21">
      <c r="A22" s="10" t="s">
        <v>407</v>
      </c>
      <c r="B22" s="137"/>
      <c r="C22" s="333"/>
      <c r="D22" s="12"/>
      <c r="E22" s="333"/>
      <c r="F22" s="137"/>
      <c r="G22" s="333"/>
      <c r="H22" s="15"/>
      <c r="I22" s="835"/>
      <c r="J22" s="12"/>
      <c r="K22" s="368"/>
      <c r="L22" s="12"/>
      <c r="M22" s="368"/>
      <c r="N22" s="12"/>
      <c r="O22" s="368"/>
      <c r="P22" s="12"/>
      <c r="Q22" s="368"/>
      <c r="R22" s="12"/>
      <c r="S22" s="368"/>
      <c r="T22" s="12"/>
      <c r="U22" s="368"/>
      <c r="V22" s="11"/>
      <c r="W22" s="363"/>
      <c r="X22" s="11">
        <v>1</v>
      </c>
      <c r="Y22" s="363">
        <v>165</v>
      </c>
      <c r="Z22" s="11"/>
      <c r="AA22" s="363"/>
      <c r="AB22" s="11"/>
      <c r="AC22" s="363"/>
      <c r="AD22" s="11"/>
      <c r="AE22" s="363"/>
      <c r="AF22" s="11"/>
      <c r="AG22" s="363"/>
      <c r="AH22" s="11"/>
      <c r="AI22" s="363"/>
      <c r="AJ22" s="299"/>
      <c r="AK22" s="299"/>
      <c r="AL22" s="379">
        <f t="shared" si="2"/>
        <v>1</v>
      </c>
      <c r="AM22" s="381">
        <f t="shared" si="3"/>
        <v>165</v>
      </c>
    </row>
    <row r="23" spans="1:39" ht="21">
      <c r="A23" s="10" t="s">
        <v>27</v>
      </c>
      <c r="B23" s="137">
        <v>2</v>
      </c>
      <c r="C23" s="333">
        <v>522.8</v>
      </c>
      <c r="D23" s="12"/>
      <c r="E23" s="333"/>
      <c r="F23" s="137"/>
      <c r="G23" s="333"/>
      <c r="H23" s="15"/>
      <c r="I23" s="835"/>
      <c r="J23" s="12"/>
      <c r="K23" s="368"/>
      <c r="L23" s="12"/>
      <c r="M23" s="368"/>
      <c r="N23" s="12"/>
      <c r="O23" s="368"/>
      <c r="P23" s="12"/>
      <c r="Q23" s="368"/>
      <c r="R23" s="12"/>
      <c r="S23" s="368"/>
      <c r="T23" s="12"/>
      <c r="U23" s="368"/>
      <c r="V23" s="11"/>
      <c r="W23" s="363"/>
      <c r="X23" s="11"/>
      <c r="Y23" s="363"/>
      <c r="Z23" s="11"/>
      <c r="AA23" s="363"/>
      <c r="AB23" s="11"/>
      <c r="AC23" s="363"/>
      <c r="AD23" s="11"/>
      <c r="AE23" s="363"/>
      <c r="AF23" s="11"/>
      <c r="AG23" s="363"/>
      <c r="AH23" s="11"/>
      <c r="AI23" s="363"/>
      <c r="AJ23" s="299"/>
      <c r="AK23" s="299"/>
      <c r="AL23" s="379">
        <f t="shared" si="2"/>
        <v>2</v>
      </c>
      <c r="AM23" s="381">
        <f t="shared" si="3"/>
        <v>522.8</v>
      </c>
    </row>
    <row r="24" spans="1:39" ht="21">
      <c r="A24" s="10" t="s">
        <v>28</v>
      </c>
      <c r="B24" s="137">
        <v>2</v>
      </c>
      <c r="C24" s="333">
        <v>183.6</v>
      </c>
      <c r="D24" s="12"/>
      <c r="E24" s="333"/>
      <c r="F24" s="137"/>
      <c r="G24" s="333"/>
      <c r="H24" s="15"/>
      <c r="I24" s="835"/>
      <c r="J24" s="12"/>
      <c r="K24" s="368"/>
      <c r="L24" s="12"/>
      <c r="M24" s="368"/>
      <c r="N24" s="12"/>
      <c r="O24" s="368"/>
      <c r="P24" s="12"/>
      <c r="Q24" s="368"/>
      <c r="R24" s="12"/>
      <c r="S24" s="368"/>
      <c r="T24" s="12"/>
      <c r="U24" s="368"/>
      <c r="V24" s="11">
        <v>2</v>
      </c>
      <c r="W24" s="363">
        <v>158.6</v>
      </c>
      <c r="X24" s="11">
        <v>4</v>
      </c>
      <c r="Y24" s="363">
        <v>1082</v>
      </c>
      <c r="Z24" s="11">
        <v>1</v>
      </c>
      <c r="AA24" s="363">
        <v>61.2</v>
      </c>
      <c r="AB24" s="11"/>
      <c r="AC24" s="363"/>
      <c r="AD24" s="11"/>
      <c r="AE24" s="363">
        <v>470</v>
      </c>
      <c r="AF24" s="11"/>
      <c r="AG24" s="363"/>
      <c r="AH24" s="11"/>
      <c r="AI24" s="363"/>
      <c r="AJ24" s="299">
        <v>1</v>
      </c>
      <c r="AK24" s="299">
        <v>478.3</v>
      </c>
      <c r="AL24" s="379">
        <f t="shared" si="2"/>
        <v>10</v>
      </c>
      <c r="AM24" s="381">
        <f t="shared" si="3"/>
        <v>2433.7000000000003</v>
      </c>
    </row>
    <row r="25" spans="1:39" ht="21">
      <c r="A25" s="10" t="s">
        <v>29</v>
      </c>
      <c r="B25" s="137">
        <v>1</v>
      </c>
      <c r="C25" s="333">
        <v>337.2</v>
      </c>
      <c r="D25" s="12"/>
      <c r="E25" s="333"/>
      <c r="F25" s="137"/>
      <c r="G25" s="333"/>
      <c r="H25" s="15"/>
      <c r="I25" s="835"/>
      <c r="J25" s="12"/>
      <c r="K25" s="368"/>
      <c r="L25" s="12"/>
      <c r="M25" s="368"/>
      <c r="N25" s="12"/>
      <c r="O25" s="368"/>
      <c r="P25" s="12"/>
      <c r="Q25" s="368"/>
      <c r="R25" s="12"/>
      <c r="S25" s="368"/>
      <c r="T25" s="12"/>
      <c r="U25" s="368"/>
      <c r="V25" s="11"/>
      <c r="W25" s="363">
        <v>99.4</v>
      </c>
      <c r="X25" s="11"/>
      <c r="Y25" s="363"/>
      <c r="Z25" s="11">
        <v>4</v>
      </c>
      <c r="AA25" s="363">
        <v>481</v>
      </c>
      <c r="AB25" s="11"/>
      <c r="AC25" s="363"/>
      <c r="AD25" s="11"/>
      <c r="AE25" s="363"/>
      <c r="AF25" s="11"/>
      <c r="AG25" s="363"/>
      <c r="AH25" s="11">
        <v>2</v>
      </c>
      <c r="AI25" s="363">
        <v>145.4</v>
      </c>
      <c r="AJ25" s="299"/>
      <c r="AK25" s="299"/>
      <c r="AL25" s="379">
        <f t="shared" si="2"/>
        <v>7</v>
      </c>
      <c r="AM25" s="381">
        <f t="shared" si="3"/>
        <v>1063</v>
      </c>
    </row>
    <row r="26" spans="1:39" ht="21">
      <c r="A26" s="10" t="s">
        <v>220</v>
      </c>
      <c r="B26" s="137"/>
      <c r="C26" s="333"/>
      <c r="D26" s="12"/>
      <c r="E26" s="333"/>
      <c r="F26" s="137"/>
      <c r="G26" s="333"/>
      <c r="H26" s="15"/>
      <c r="I26" s="835"/>
      <c r="J26" s="12"/>
      <c r="K26" s="368"/>
      <c r="L26" s="12"/>
      <c r="M26" s="368"/>
      <c r="N26" s="12"/>
      <c r="O26" s="368"/>
      <c r="P26" s="12"/>
      <c r="Q26" s="368"/>
      <c r="R26" s="12"/>
      <c r="S26" s="368"/>
      <c r="T26" s="12"/>
      <c r="U26" s="368"/>
      <c r="V26" s="11"/>
      <c r="W26" s="363"/>
      <c r="X26" s="11"/>
      <c r="Y26" s="363"/>
      <c r="Z26" s="11">
        <v>1</v>
      </c>
      <c r="AA26" s="363">
        <v>159.2</v>
      </c>
      <c r="AB26" s="11"/>
      <c r="AC26" s="363"/>
      <c r="AD26" s="11"/>
      <c r="AE26" s="363"/>
      <c r="AF26" s="11"/>
      <c r="AG26" s="363"/>
      <c r="AH26" s="11"/>
      <c r="AI26" s="363"/>
      <c r="AJ26" s="299"/>
      <c r="AK26" s="299"/>
      <c r="AL26" s="379">
        <f aca="true" t="shared" si="4" ref="AL26:AL41">SUM(B26,D26,F26,H26,J26,L26,N26,P26,R26,T26,V26,Z26,X26,AB26,AD26,AF26,AH26,AJ26)</f>
        <v>1</v>
      </c>
      <c r="AM26" s="381">
        <f aca="true" t="shared" si="5" ref="AM26:AM41">SUM(C26,E26,G26,I26,K26,M26,O26,Q26,S26,U26,W26,AA26,Y26,AC26,AE26,AG26,AI26,AK26)</f>
        <v>159.2</v>
      </c>
    </row>
    <row r="27" spans="1:39" ht="21">
      <c r="A27" s="10" t="s">
        <v>30</v>
      </c>
      <c r="B27" s="137">
        <v>3</v>
      </c>
      <c r="C27" s="333">
        <v>266.3</v>
      </c>
      <c r="D27" s="12"/>
      <c r="E27" s="333"/>
      <c r="F27" s="137"/>
      <c r="G27" s="333"/>
      <c r="H27" s="15"/>
      <c r="I27" s="835"/>
      <c r="J27" s="12">
        <v>1</v>
      </c>
      <c r="K27" s="368">
        <v>298.6</v>
      </c>
      <c r="L27" s="12">
        <v>2</v>
      </c>
      <c r="M27" s="368">
        <v>203.6</v>
      </c>
      <c r="N27" s="12"/>
      <c r="O27" s="368"/>
      <c r="P27" s="12"/>
      <c r="Q27" s="368"/>
      <c r="R27" s="12"/>
      <c r="S27" s="368"/>
      <c r="T27" s="12"/>
      <c r="U27" s="368"/>
      <c r="V27" s="11"/>
      <c r="W27" s="363"/>
      <c r="X27" s="11"/>
      <c r="Y27" s="363"/>
      <c r="Z27" s="11">
        <v>1</v>
      </c>
      <c r="AA27" s="363">
        <v>556.2</v>
      </c>
      <c r="AB27" s="11"/>
      <c r="AC27" s="363"/>
      <c r="AD27" s="11"/>
      <c r="AE27" s="363"/>
      <c r="AF27" s="11"/>
      <c r="AG27" s="363"/>
      <c r="AH27" s="11">
        <v>3</v>
      </c>
      <c r="AI27" s="363">
        <v>218.1</v>
      </c>
      <c r="AJ27" s="299">
        <v>1</v>
      </c>
      <c r="AK27" s="299">
        <v>156.7</v>
      </c>
      <c r="AL27" s="379">
        <f t="shared" si="4"/>
        <v>11</v>
      </c>
      <c r="AM27" s="381">
        <f t="shared" si="5"/>
        <v>1699.5000000000002</v>
      </c>
    </row>
    <row r="28" spans="1:39" ht="21">
      <c r="A28" s="10" t="s">
        <v>201</v>
      </c>
      <c r="B28" s="137">
        <v>2</v>
      </c>
      <c r="C28" s="333">
        <v>259.5</v>
      </c>
      <c r="D28" s="12"/>
      <c r="E28" s="333"/>
      <c r="F28" s="137"/>
      <c r="G28" s="333"/>
      <c r="H28" s="15"/>
      <c r="I28" s="835"/>
      <c r="J28" s="12"/>
      <c r="K28" s="368"/>
      <c r="L28" s="12"/>
      <c r="M28" s="368"/>
      <c r="N28" s="12"/>
      <c r="O28" s="368"/>
      <c r="P28" s="12"/>
      <c r="Q28" s="368"/>
      <c r="R28" s="12"/>
      <c r="S28" s="368"/>
      <c r="T28" s="12"/>
      <c r="U28" s="368"/>
      <c r="V28" s="11"/>
      <c r="W28" s="363"/>
      <c r="X28" s="11">
        <v>7</v>
      </c>
      <c r="Y28" s="363">
        <v>761.9</v>
      </c>
      <c r="Z28" s="11">
        <v>2</v>
      </c>
      <c r="AA28" s="363">
        <v>337.3</v>
      </c>
      <c r="AB28" s="11"/>
      <c r="AC28" s="363"/>
      <c r="AD28" s="11"/>
      <c r="AE28" s="363"/>
      <c r="AF28" s="11">
        <v>10</v>
      </c>
      <c r="AG28" s="363">
        <v>486.2</v>
      </c>
      <c r="AH28" s="11"/>
      <c r="AI28" s="363"/>
      <c r="AJ28" s="299"/>
      <c r="AK28" s="299"/>
      <c r="AL28" s="379">
        <f t="shared" si="4"/>
        <v>21</v>
      </c>
      <c r="AM28" s="381">
        <f t="shared" si="5"/>
        <v>1844.8999999999999</v>
      </c>
    </row>
    <row r="29" spans="1:39" s="156" customFormat="1" ht="21">
      <c r="A29" s="10" t="s">
        <v>31</v>
      </c>
      <c r="B29" s="137">
        <v>6</v>
      </c>
      <c r="C29" s="333">
        <v>964.7</v>
      </c>
      <c r="D29" s="12"/>
      <c r="E29" s="333"/>
      <c r="F29" s="137">
        <v>8</v>
      </c>
      <c r="G29" s="333">
        <v>331.1</v>
      </c>
      <c r="H29" s="15"/>
      <c r="I29" s="835"/>
      <c r="J29" s="12"/>
      <c r="K29" s="368"/>
      <c r="L29" s="12"/>
      <c r="M29" s="368"/>
      <c r="N29" s="12"/>
      <c r="O29" s="368"/>
      <c r="P29" s="12"/>
      <c r="Q29" s="368"/>
      <c r="R29" s="12"/>
      <c r="S29" s="368"/>
      <c r="T29" s="12"/>
      <c r="U29" s="368"/>
      <c r="V29" s="11">
        <v>5</v>
      </c>
      <c r="W29" s="363">
        <v>867.8000000000001</v>
      </c>
      <c r="X29" s="11">
        <v>1</v>
      </c>
      <c r="Y29" s="363">
        <v>332</v>
      </c>
      <c r="Z29" s="11">
        <v>2</v>
      </c>
      <c r="AA29" s="363">
        <v>876.5</v>
      </c>
      <c r="AB29" s="11"/>
      <c r="AC29" s="363"/>
      <c r="AD29" s="11"/>
      <c r="AE29" s="363">
        <v>58</v>
      </c>
      <c r="AF29" s="11"/>
      <c r="AG29" s="363"/>
      <c r="AH29" s="11">
        <v>3</v>
      </c>
      <c r="AI29" s="363">
        <v>218.1</v>
      </c>
      <c r="AJ29" s="299"/>
      <c r="AK29" s="299"/>
      <c r="AL29" s="379">
        <f t="shared" si="4"/>
        <v>25</v>
      </c>
      <c r="AM29" s="381">
        <f t="shared" si="5"/>
        <v>3648.2000000000003</v>
      </c>
    </row>
    <row r="30" spans="1:39" ht="21">
      <c r="A30" s="16" t="s">
        <v>411</v>
      </c>
      <c r="B30" s="208"/>
      <c r="C30" s="593"/>
      <c r="D30" s="582"/>
      <c r="E30" s="593"/>
      <c r="F30" s="208"/>
      <c r="G30" s="593"/>
      <c r="H30" s="18"/>
      <c r="I30" s="836"/>
      <c r="J30" s="582"/>
      <c r="K30" s="583"/>
      <c r="L30" s="582">
        <v>2</v>
      </c>
      <c r="M30" s="583">
        <v>112.4</v>
      </c>
      <c r="N30" s="582"/>
      <c r="O30" s="583"/>
      <c r="P30" s="582"/>
      <c r="Q30" s="583"/>
      <c r="R30" s="582"/>
      <c r="S30" s="583"/>
      <c r="T30" s="582"/>
      <c r="U30" s="583"/>
      <c r="V30" s="17"/>
      <c r="W30" s="364"/>
      <c r="X30" s="17"/>
      <c r="Y30" s="364"/>
      <c r="Z30" s="17"/>
      <c r="AA30" s="364"/>
      <c r="AB30" s="17"/>
      <c r="AC30" s="364"/>
      <c r="AD30" s="17"/>
      <c r="AE30" s="364"/>
      <c r="AF30" s="17"/>
      <c r="AG30" s="364"/>
      <c r="AH30" s="17"/>
      <c r="AI30" s="364"/>
      <c r="AJ30" s="332"/>
      <c r="AK30" s="332"/>
      <c r="AL30" s="380">
        <f t="shared" si="4"/>
        <v>2</v>
      </c>
      <c r="AM30" s="382">
        <f t="shared" si="5"/>
        <v>112.4</v>
      </c>
    </row>
    <row r="31" spans="1:39" ht="21">
      <c r="A31" s="384" t="s">
        <v>32</v>
      </c>
      <c r="B31" s="137"/>
      <c r="C31" s="333"/>
      <c r="D31" s="12"/>
      <c r="E31" s="333"/>
      <c r="F31" s="137"/>
      <c r="G31" s="333"/>
      <c r="H31" s="15"/>
      <c r="I31" s="835"/>
      <c r="J31" s="12"/>
      <c r="K31" s="368"/>
      <c r="L31" s="12"/>
      <c r="M31" s="368"/>
      <c r="N31" s="12"/>
      <c r="O31" s="368"/>
      <c r="P31" s="12"/>
      <c r="Q31" s="368"/>
      <c r="R31" s="12"/>
      <c r="S31" s="368"/>
      <c r="T31" s="12"/>
      <c r="U31" s="368"/>
      <c r="V31" s="11"/>
      <c r="W31" s="363"/>
      <c r="X31" s="11"/>
      <c r="Y31" s="363"/>
      <c r="Z31" s="11"/>
      <c r="AA31" s="363"/>
      <c r="AB31" s="11"/>
      <c r="AC31" s="363"/>
      <c r="AD31" s="11"/>
      <c r="AE31" s="363"/>
      <c r="AF31" s="11"/>
      <c r="AG31" s="363"/>
      <c r="AH31" s="11"/>
      <c r="AI31" s="363"/>
      <c r="AJ31" s="299"/>
      <c r="AK31" s="299"/>
      <c r="AL31" s="379">
        <f t="shared" si="4"/>
        <v>0</v>
      </c>
      <c r="AM31" s="381">
        <f t="shared" si="5"/>
        <v>0</v>
      </c>
    </row>
    <row r="32" spans="1:39" ht="21">
      <c r="A32" s="10" t="s">
        <v>167</v>
      </c>
      <c r="B32" s="137"/>
      <c r="C32" s="333"/>
      <c r="D32" s="12"/>
      <c r="E32" s="333"/>
      <c r="F32" s="137"/>
      <c r="G32" s="333"/>
      <c r="H32" s="15"/>
      <c r="I32" s="835"/>
      <c r="J32" s="12"/>
      <c r="K32" s="368"/>
      <c r="L32" s="12"/>
      <c r="M32" s="368"/>
      <c r="N32" s="12"/>
      <c r="O32" s="368"/>
      <c r="P32" s="12"/>
      <c r="Q32" s="368"/>
      <c r="R32" s="12"/>
      <c r="S32" s="368"/>
      <c r="T32" s="12"/>
      <c r="U32" s="368"/>
      <c r="V32" s="11"/>
      <c r="W32" s="363"/>
      <c r="X32" s="11"/>
      <c r="Y32" s="363"/>
      <c r="Z32" s="11">
        <v>4</v>
      </c>
      <c r="AA32" s="363">
        <v>967.8</v>
      </c>
      <c r="AB32" s="11"/>
      <c r="AC32" s="363"/>
      <c r="AD32" s="11">
        <v>1</v>
      </c>
      <c r="AE32" s="363">
        <v>192.2</v>
      </c>
      <c r="AF32" s="11"/>
      <c r="AG32" s="363"/>
      <c r="AH32" s="11"/>
      <c r="AI32" s="363"/>
      <c r="AJ32" s="299"/>
      <c r="AK32" s="299"/>
      <c r="AL32" s="379">
        <f t="shared" si="4"/>
        <v>5</v>
      </c>
      <c r="AM32" s="381">
        <f t="shared" si="5"/>
        <v>1160</v>
      </c>
    </row>
    <row r="33" spans="1:39" ht="21">
      <c r="A33" s="10" t="s">
        <v>135</v>
      </c>
      <c r="B33" s="137"/>
      <c r="C33" s="333"/>
      <c r="D33" s="12"/>
      <c r="E33" s="333"/>
      <c r="F33" s="137"/>
      <c r="G33" s="333"/>
      <c r="H33" s="15"/>
      <c r="I33" s="835"/>
      <c r="J33" s="12"/>
      <c r="K33" s="368"/>
      <c r="L33" s="12"/>
      <c r="M33" s="368"/>
      <c r="N33" s="12"/>
      <c r="O33" s="368"/>
      <c r="P33" s="12"/>
      <c r="Q33" s="368"/>
      <c r="R33" s="12"/>
      <c r="S33" s="368"/>
      <c r="T33" s="12"/>
      <c r="U33" s="368"/>
      <c r="V33" s="11"/>
      <c r="W33" s="363"/>
      <c r="X33" s="11">
        <v>3</v>
      </c>
      <c r="Y33" s="363">
        <v>502.9</v>
      </c>
      <c r="Z33" s="11">
        <v>4</v>
      </c>
      <c r="AA33" s="363">
        <v>1481.5</v>
      </c>
      <c r="AB33" s="11"/>
      <c r="AC33" s="363"/>
      <c r="AD33" s="11">
        <v>18</v>
      </c>
      <c r="AE33" s="363">
        <v>3607.7000000000003</v>
      </c>
      <c r="AF33" s="11"/>
      <c r="AG33" s="363"/>
      <c r="AH33" s="11">
        <v>2</v>
      </c>
      <c r="AI33" s="363">
        <v>308.8</v>
      </c>
      <c r="AJ33" s="299"/>
      <c r="AK33" s="299"/>
      <c r="AL33" s="379">
        <f t="shared" si="4"/>
        <v>27</v>
      </c>
      <c r="AM33" s="381">
        <f t="shared" si="5"/>
        <v>5900.900000000001</v>
      </c>
    </row>
    <row r="34" spans="1:39" ht="21">
      <c r="A34" s="10" t="s">
        <v>342</v>
      </c>
      <c r="B34" s="137"/>
      <c r="C34" s="333"/>
      <c r="D34" s="12"/>
      <c r="E34" s="333"/>
      <c r="F34" s="137"/>
      <c r="G34" s="333"/>
      <c r="H34" s="15"/>
      <c r="I34" s="835"/>
      <c r="J34" s="12"/>
      <c r="K34" s="368"/>
      <c r="L34" s="12"/>
      <c r="M34" s="368"/>
      <c r="N34" s="12"/>
      <c r="O34" s="368"/>
      <c r="P34" s="12"/>
      <c r="Q34" s="368"/>
      <c r="R34" s="12"/>
      <c r="S34" s="368"/>
      <c r="T34" s="12"/>
      <c r="U34" s="368"/>
      <c r="V34" s="11"/>
      <c r="W34" s="363"/>
      <c r="X34" s="11"/>
      <c r="Y34" s="363"/>
      <c r="Z34" s="11"/>
      <c r="AA34" s="363"/>
      <c r="AB34" s="11"/>
      <c r="AC34" s="363"/>
      <c r="AD34" s="11">
        <v>1</v>
      </c>
      <c r="AE34" s="363">
        <v>286.7</v>
      </c>
      <c r="AF34" s="11"/>
      <c r="AG34" s="363"/>
      <c r="AH34" s="11">
        <v>2</v>
      </c>
      <c r="AI34" s="363">
        <v>439.3</v>
      </c>
      <c r="AJ34" s="299"/>
      <c r="AK34" s="299"/>
      <c r="AL34" s="379">
        <f t="shared" si="4"/>
        <v>3</v>
      </c>
      <c r="AM34" s="381">
        <f t="shared" si="5"/>
        <v>726</v>
      </c>
    </row>
    <row r="35" spans="1:39" ht="21">
      <c r="A35" s="10" t="s">
        <v>412</v>
      </c>
      <c r="B35" s="137"/>
      <c r="C35" s="333"/>
      <c r="D35" s="12"/>
      <c r="E35" s="333"/>
      <c r="F35" s="137"/>
      <c r="G35" s="333"/>
      <c r="H35" s="15"/>
      <c r="I35" s="835"/>
      <c r="J35" s="12"/>
      <c r="K35" s="368"/>
      <c r="L35" s="12"/>
      <c r="M35" s="368"/>
      <c r="N35" s="12"/>
      <c r="O35" s="368"/>
      <c r="P35" s="12"/>
      <c r="Q35" s="368"/>
      <c r="R35" s="12"/>
      <c r="S35" s="368"/>
      <c r="T35" s="12"/>
      <c r="U35" s="368"/>
      <c r="V35" s="11"/>
      <c r="W35" s="363"/>
      <c r="X35" s="11">
        <v>1</v>
      </c>
      <c r="Y35" s="363">
        <v>165</v>
      </c>
      <c r="Z35" s="11"/>
      <c r="AA35" s="363"/>
      <c r="AB35" s="11"/>
      <c r="AC35" s="363"/>
      <c r="AD35" s="11">
        <v>3</v>
      </c>
      <c r="AE35" s="363">
        <v>702.6</v>
      </c>
      <c r="AF35" s="11"/>
      <c r="AG35" s="363"/>
      <c r="AH35" s="11"/>
      <c r="AI35" s="363"/>
      <c r="AJ35" s="299"/>
      <c r="AK35" s="299"/>
      <c r="AL35" s="379">
        <f t="shared" si="4"/>
        <v>4</v>
      </c>
      <c r="AM35" s="381">
        <f t="shared" si="5"/>
        <v>867.6</v>
      </c>
    </row>
    <row r="36" spans="1:39" ht="21">
      <c r="A36" s="10" t="s">
        <v>413</v>
      </c>
      <c r="B36" s="137"/>
      <c r="C36" s="333"/>
      <c r="D36" s="12"/>
      <c r="E36" s="333"/>
      <c r="F36" s="137"/>
      <c r="G36" s="333"/>
      <c r="H36" s="15"/>
      <c r="I36" s="835"/>
      <c r="J36" s="12"/>
      <c r="K36" s="368"/>
      <c r="L36" s="12"/>
      <c r="M36" s="368"/>
      <c r="N36" s="12"/>
      <c r="O36" s="368"/>
      <c r="P36" s="12"/>
      <c r="Q36" s="368"/>
      <c r="R36" s="12"/>
      <c r="S36" s="368"/>
      <c r="T36" s="12"/>
      <c r="U36" s="368"/>
      <c r="V36" s="11"/>
      <c r="W36" s="363"/>
      <c r="X36" s="11"/>
      <c r="Y36" s="363"/>
      <c r="Z36" s="11"/>
      <c r="AA36" s="363"/>
      <c r="AB36" s="11"/>
      <c r="AC36" s="363"/>
      <c r="AD36" s="11">
        <v>2</v>
      </c>
      <c r="AE36" s="363">
        <v>511.4</v>
      </c>
      <c r="AF36" s="11"/>
      <c r="AG36" s="363"/>
      <c r="AH36" s="11">
        <v>1</v>
      </c>
      <c r="AI36" s="363">
        <v>247</v>
      </c>
      <c r="AJ36" s="299"/>
      <c r="AK36" s="299"/>
      <c r="AL36" s="379">
        <f t="shared" si="4"/>
        <v>3</v>
      </c>
      <c r="AM36" s="381">
        <f t="shared" si="5"/>
        <v>758.4</v>
      </c>
    </row>
    <row r="37" spans="1:39" ht="21">
      <c r="A37" s="10" t="s">
        <v>526</v>
      </c>
      <c r="B37" s="137">
        <v>1</v>
      </c>
      <c r="C37" s="333">
        <v>200.6</v>
      </c>
      <c r="D37" s="12"/>
      <c r="E37" s="333"/>
      <c r="F37" s="137"/>
      <c r="G37" s="333"/>
      <c r="H37" s="15"/>
      <c r="I37" s="835"/>
      <c r="J37" s="12"/>
      <c r="K37" s="368"/>
      <c r="L37" s="12"/>
      <c r="M37" s="368"/>
      <c r="N37" s="12"/>
      <c r="O37" s="368"/>
      <c r="P37" s="12"/>
      <c r="Q37" s="368"/>
      <c r="R37" s="12"/>
      <c r="S37" s="368"/>
      <c r="T37" s="12"/>
      <c r="U37" s="368"/>
      <c r="V37" s="11"/>
      <c r="W37" s="363"/>
      <c r="X37" s="11"/>
      <c r="Y37" s="363"/>
      <c r="Z37" s="11"/>
      <c r="AA37" s="363"/>
      <c r="AB37" s="11"/>
      <c r="AC37" s="363"/>
      <c r="AD37" s="11">
        <v>11</v>
      </c>
      <c r="AE37" s="363">
        <v>2435.9</v>
      </c>
      <c r="AF37" s="11"/>
      <c r="AG37" s="363"/>
      <c r="AH37" s="11"/>
      <c r="AI37" s="363"/>
      <c r="AJ37" s="299"/>
      <c r="AK37" s="299"/>
      <c r="AL37" s="379">
        <f t="shared" si="4"/>
        <v>12</v>
      </c>
      <c r="AM37" s="381">
        <f t="shared" si="5"/>
        <v>2636.5</v>
      </c>
    </row>
    <row r="38" spans="1:39" ht="21">
      <c r="A38" s="10" t="s">
        <v>414</v>
      </c>
      <c r="B38" s="137">
        <v>1</v>
      </c>
      <c r="C38" s="333">
        <v>167.9</v>
      </c>
      <c r="D38" s="12"/>
      <c r="E38" s="333"/>
      <c r="F38" s="137"/>
      <c r="G38" s="333"/>
      <c r="H38" s="15"/>
      <c r="I38" s="835"/>
      <c r="J38" s="12"/>
      <c r="K38" s="368"/>
      <c r="L38" s="12"/>
      <c r="M38" s="368"/>
      <c r="N38" s="12"/>
      <c r="O38" s="368"/>
      <c r="P38" s="12"/>
      <c r="Q38" s="368"/>
      <c r="R38" s="12"/>
      <c r="S38" s="368"/>
      <c r="T38" s="12"/>
      <c r="U38" s="368"/>
      <c r="V38" s="11"/>
      <c r="W38" s="363"/>
      <c r="X38" s="11"/>
      <c r="Y38" s="363"/>
      <c r="Z38" s="11"/>
      <c r="AA38" s="363"/>
      <c r="AB38" s="11"/>
      <c r="AC38" s="363"/>
      <c r="AD38" s="11"/>
      <c r="AE38" s="363"/>
      <c r="AF38" s="11"/>
      <c r="AG38" s="363"/>
      <c r="AH38" s="11">
        <v>1</v>
      </c>
      <c r="AI38" s="363">
        <v>143.6</v>
      </c>
      <c r="AJ38" s="299"/>
      <c r="AK38" s="299"/>
      <c r="AL38" s="379">
        <f t="shared" si="4"/>
        <v>2</v>
      </c>
      <c r="AM38" s="381">
        <f t="shared" si="5"/>
        <v>311.5</v>
      </c>
    </row>
    <row r="39" spans="1:39" ht="21">
      <c r="A39" s="10" t="s">
        <v>214</v>
      </c>
      <c r="B39" s="137">
        <v>1</v>
      </c>
      <c r="C39" s="333">
        <v>161.5</v>
      </c>
      <c r="D39" s="12"/>
      <c r="E39" s="333"/>
      <c r="F39" s="137"/>
      <c r="G39" s="333"/>
      <c r="H39" s="15"/>
      <c r="I39" s="835"/>
      <c r="J39" s="12"/>
      <c r="K39" s="368"/>
      <c r="L39" s="12"/>
      <c r="M39" s="368"/>
      <c r="N39" s="12"/>
      <c r="O39" s="368"/>
      <c r="P39" s="12"/>
      <c r="Q39" s="368"/>
      <c r="R39" s="12"/>
      <c r="S39" s="368"/>
      <c r="T39" s="12"/>
      <c r="U39" s="368"/>
      <c r="V39" s="11"/>
      <c r="W39" s="363"/>
      <c r="X39" s="11">
        <v>2</v>
      </c>
      <c r="Y39" s="363">
        <v>330</v>
      </c>
      <c r="Z39" s="11"/>
      <c r="AA39" s="363"/>
      <c r="AB39" s="11"/>
      <c r="AC39" s="363"/>
      <c r="AD39" s="11">
        <v>4</v>
      </c>
      <c r="AE39" s="363">
        <v>733</v>
      </c>
      <c r="AF39" s="11"/>
      <c r="AG39" s="363"/>
      <c r="AH39" s="11">
        <v>2</v>
      </c>
      <c r="AI39" s="363">
        <v>385.8</v>
      </c>
      <c r="AJ39" s="299"/>
      <c r="AK39" s="299"/>
      <c r="AL39" s="379">
        <f t="shared" si="4"/>
        <v>9</v>
      </c>
      <c r="AM39" s="381">
        <f t="shared" si="5"/>
        <v>1610.3</v>
      </c>
    </row>
    <row r="40" spans="1:39" ht="21">
      <c r="A40" s="10" t="s">
        <v>351</v>
      </c>
      <c r="B40" s="137">
        <v>2</v>
      </c>
      <c r="C40" s="333">
        <v>419</v>
      </c>
      <c r="D40" s="12"/>
      <c r="E40" s="333"/>
      <c r="F40" s="137"/>
      <c r="G40" s="333"/>
      <c r="H40" s="15"/>
      <c r="I40" s="835"/>
      <c r="J40" s="12"/>
      <c r="K40" s="368"/>
      <c r="L40" s="12"/>
      <c r="M40" s="368"/>
      <c r="N40" s="12"/>
      <c r="O40" s="368"/>
      <c r="P40" s="12"/>
      <c r="Q40" s="368"/>
      <c r="R40" s="12"/>
      <c r="S40" s="368"/>
      <c r="T40" s="12"/>
      <c r="U40" s="368"/>
      <c r="V40" s="11"/>
      <c r="W40" s="363"/>
      <c r="X40" s="11"/>
      <c r="Y40" s="363"/>
      <c r="Z40" s="11">
        <v>2</v>
      </c>
      <c r="AA40" s="363">
        <v>444</v>
      </c>
      <c r="AB40" s="11"/>
      <c r="AC40" s="363"/>
      <c r="AD40" s="11">
        <v>2</v>
      </c>
      <c r="AE40" s="363">
        <v>418.6</v>
      </c>
      <c r="AF40" s="11"/>
      <c r="AG40" s="363"/>
      <c r="AH40" s="11"/>
      <c r="AI40" s="363"/>
      <c r="AJ40" s="299"/>
      <c r="AK40" s="299"/>
      <c r="AL40" s="379">
        <f t="shared" si="4"/>
        <v>6</v>
      </c>
      <c r="AM40" s="381">
        <f t="shared" si="5"/>
        <v>1281.6</v>
      </c>
    </row>
    <row r="41" spans="1:39" ht="21">
      <c r="A41" s="10" t="s">
        <v>341</v>
      </c>
      <c r="B41" s="137">
        <v>6</v>
      </c>
      <c r="C41" s="333">
        <v>1254.6</v>
      </c>
      <c r="D41" s="12"/>
      <c r="E41" s="333"/>
      <c r="F41" s="137"/>
      <c r="G41" s="333"/>
      <c r="H41" s="15"/>
      <c r="I41" s="835"/>
      <c r="J41" s="12"/>
      <c r="K41" s="368"/>
      <c r="L41" s="12"/>
      <c r="M41" s="368"/>
      <c r="N41" s="12"/>
      <c r="O41" s="368"/>
      <c r="P41" s="12"/>
      <c r="Q41" s="368"/>
      <c r="R41" s="12"/>
      <c r="S41" s="368"/>
      <c r="T41" s="12"/>
      <c r="U41" s="368"/>
      <c r="V41" s="11">
        <v>3</v>
      </c>
      <c r="W41" s="363">
        <v>561.3</v>
      </c>
      <c r="X41" s="11">
        <v>1</v>
      </c>
      <c r="Y41" s="363">
        <v>973.4</v>
      </c>
      <c r="Z41" s="11"/>
      <c r="AA41" s="363"/>
      <c r="AB41" s="11"/>
      <c r="AC41" s="363"/>
      <c r="AD41" s="11">
        <v>3</v>
      </c>
      <c r="AE41" s="363">
        <v>456.3</v>
      </c>
      <c r="AF41" s="11"/>
      <c r="AG41" s="363"/>
      <c r="AH41" s="11">
        <v>1</v>
      </c>
      <c r="AI41" s="363">
        <v>175.7</v>
      </c>
      <c r="AJ41" s="299"/>
      <c r="AK41" s="299"/>
      <c r="AL41" s="379">
        <f t="shared" si="4"/>
        <v>14</v>
      </c>
      <c r="AM41" s="381">
        <f t="shared" si="5"/>
        <v>3421.2999999999997</v>
      </c>
    </row>
    <row r="42" spans="1:39" s="218" customFormat="1" ht="21">
      <c r="A42" s="16" t="s">
        <v>262</v>
      </c>
      <c r="B42" s="208"/>
      <c r="C42" s="593">
        <v>291.7</v>
      </c>
      <c r="D42" s="582"/>
      <c r="E42" s="593"/>
      <c r="F42" s="208"/>
      <c r="G42" s="593"/>
      <c r="H42" s="18"/>
      <c r="I42" s="836"/>
      <c r="J42" s="582"/>
      <c r="K42" s="583"/>
      <c r="L42" s="582"/>
      <c r="M42" s="583"/>
      <c r="N42" s="582"/>
      <c r="O42" s="583"/>
      <c r="P42" s="582"/>
      <c r="Q42" s="583"/>
      <c r="R42" s="582"/>
      <c r="S42" s="583"/>
      <c r="T42" s="582"/>
      <c r="U42" s="583"/>
      <c r="V42" s="17"/>
      <c r="W42" s="364"/>
      <c r="X42" s="17"/>
      <c r="Y42" s="364"/>
      <c r="Z42" s="17"/>
      <c r="AA42" s="364"/>
      <c r="AB42" s="17"/>
      <c r="AC42" s="364"/>
      <c r="AD42" s="17">
        <v>1</v>
      </c>
      <c r="AE42" s="364">
        <v>705.1999999999999</v>
      </c>
      <c r="AF42" s="17"/>
      <c r="AG42" s="364"/>
      <c r="AH42" s="17"/>
      <c r="AI42" s="364"/>
      <c r="AJ42" s="332"/>
      <c r="AK42" s="332"/>
      <c r="AL42" s="380">
        <f>SUM(B42,D42,F42,H42,J42,L42,N42,P42,R42,T42,V42,Z42,X42,AB42,AD42,AF42,AH42,AJ42)</f>
        <v>1</v>
      </c>
      <c r="AM42" s="382">
        <f>SUM(C42,E42,G42,I42,K42,M42,O42,Q42,S42,U42,W42,AA42,Y42,AC42,AE42,AG42,AI42,AK42)</f>
        <v>996.8999999999999</v>
      </c>
    </row>
    <row r="43" spans="1:39" ht="21">
      <c r="A43" s="384" t="s">
        <v>62</v>
      </c>
      <c r="B43" s="137"/>
      <c r="C43" s="299"/>
      <c r="D43" s="11"/>
      <c r="E43" s="299"/>
      <c r="F43" s="11"/>
      <c r="G43" s="299"/>
      <c r="H43" s="11"/>
      <c r="I43" s="363"/>
      <c r="J43" s="11"/>
      <c r="K43" s="363"/>
      <c r="L43" s="11"/>
      <c r="M43" s="363"/>
      <c r="N43" s="11"/>
      <c r="O43" s="363"/>
      <c r="P43" s="11"/>
      <c r="Q43" s="363"/>
      <c r="R43" s="11"/>
      <c r="S43" s="363"/>
      <c r="T43" s="11"/>
      <c r="U43" s="363"/>
      <c r="V43" s="11"/>
      <c r="W43" s="363"/>
      <c r="X43" s="11"/>
      <c r="Y43" s="363"/>
      <c r="Z43" s="11"/>
      <c r="AA43" s="363"/>
      <c r="AB43" s="11"/>
      <c r="AC43" s="363"/>
      <c r="AD43" s="11"/>
      <c r="AE43" s="363"/>
      <c r="AF43" s="11"/>
      <c r="AG43" s="363"/>
      <c r="AH43" s="11"/>
      <c r="AI43" s="363"/>
      <c r="AJ43" s="299"/>
      <c r="AK43" s="299"/>
      <c r="AL43" s="985"/>
      <c r="AM43" s="986"/>
    </row>
    <row r="44" spans="1:39" ht="21">
      <c r="A44" s="10" t="s">
        <v>417</v>
      </c>
      <c r="B44" s="137">
        <v>12</v>
      </c>
      <c r="C44" s="333">
        <v>1860.4</v>
      </c>
      <c r="D44" s="12"/>
      <c r="E44" s="333"/>
      <c r="F44" s="137"/>
      <c r="G44" s="333"/>
      <c r="H44" s="15"/>
      <c r="I44" s="835"/>
      <c r="J44" s="12"/>
      <c r="K44" s="368"/>
      <c r="L44" s="12"/>
      <c r="M44" s="368"/>
      <c r="N44" s="12"/>
      <c r="O44" s="368"/>
      <c r="P44" s="12"/>
      <c r="Q44" s="368"/>
      <c r="R44" s="12"/>
      <c r="S44" s="368"/>
      <c r="T44" s="12"/>
      <c r="U44" s="368"/>
      <c r="V44" s="11"/>
      <c r="W44" s="363"/>
      <c r="X44" s="11"/>
      <c r="Y44" s="363"/>
      <c r="Z44" s="11"/>
      <c r="AA44" s="363"/>
      <c r="AB44" s="11"/>
      <c r="AC44" s="363"/>
      <c r="AD44" s="11"/>
      <c r="AE44" s="363"/>
      <c r="AF44" s="11"/>
      <c r="AG44" s="363"/>
      <c r="AH44" s="11"/>
      <c r="AI44" s="363"/>
      <c r="AJ44" s="299"/>
      <c r="AK44" s="299"/>
      <c r="AL44" s="379">
        <f>SUM(B44,D44,F44,H44,J44,L44,N44,P44,R44,T44,V44,Z44,X44,AB44,AD44,AF44,AH44,AJ44)</f>
        <v>12</v>
      </c>
      <c r="AM44" s="381">
        <f>SUM(C44,E44,G44,I44,K44,M44,O44,Q44,S44,U44,W44,AA44,Y44,AC44,AE44,AG44,AI44,AK44)</f>
        <v>1860.4</v>
      </c>
    </row>
    <row r="45" spans="1:39" ht="21">
      <c r="A45" s="10" t="s">
        <v>144</v>
      </c>
      <c r="B45" s="137">
        <v>4</v>
      </c>
      <c r="C45" s="333">
        <v>1013</v>
      </c>
      <c r="D45" s="12"/>
      <c r="E45" s="333"/>
      <c r="F45" s="137"/>
      <c r="G45" s="333"/>
      <c r="H45" s="15"/>
      <c r="I45" s="835"/>
      <c r="J45" s="12"/>
      <c r="K45" s="368"/>
      <c r="L45" s="12"/>
      <c r="M45" s="368"/>
      <c r="N45" s="12"/>
      <c r="O45" s="368"/>
      <c r="P45" s="12"/>
      <c r="Q45" s="368"/>
      <c r="R45" s="12"/>
      <c r="S45" s="368"/>
      <c r="T45" s="12"/>
      <c r="U45" s="368"/>
      <c r="V45" s="11"/>
      <c r="W45" s="363"/>
      <c r="X45" s="11">
        <v>2</v>
      </c>
      <c r="Y45" s="363">
        <v>270.8</v>
      </c>
      <c r="Z45" s="11"/>
      <c r="AA45" s="363"/>
      <c r="AB45" s="11"/>
      <c r="AC45" s="363"/>
      <c r="AD45" s="11"/>
      <c r="AE45" s="363"/>
      <c r="AF45" s="11"/>
      <c r="AG45" s="363"/>
      <c r="AH45" s="11"/>
      <c r="AI45" s="363"/>
      <c r="AJ45" s="299"/>
      <c r="AK45" s="299"/>
      <c r="AL45" s="379">
        <f aca="true" t="shared" si="6" ref="AL45:AL79">SUM(B45,D45,F45,H45,J45,L45,N45,P45,R45,T45,V45,Z45,X45,AB45,AD45,AF45,AH45,AJ45)</f>
        <v>6</v>
      </c>
      <c r="AM45" s="381">
        <f aca="true" t="shared" si="7" ref="AM45:AM79">SUM(C45,E45,G45,I45,K45,M45,O45,Q45,S45,U45,W45,AA45,Y45,AC45,AE45,AG45,AI45,AK45)</f>
        <v>1283.8</v>
      </c>
    </row>
    <row r="46" spans="1:39" ht="21">
      <c r="A46" s="10" t="s">
        <v>586</v>
      </c>
      <c r="B46" s="137"/>
      <c r="C46" s="333"/>
      <c r="D46" s="12"/>
      <c r="E46" s="333"/>
      <c r="F46" s="137"/>
      <c r="G46" s="333"/>
      <c r="H46" s="15"/>
      <c r="I46" s="835"/>
      <c r="J46" s="12"/>
      <c r="K46" s="368"/>
      <c r="L46" s="12"/>
      <c r="M46" s="368"/>
      <c r="N46" s="12"/>
      <c r="O46" s="368"/>
      <c r="P46" s="12"/>
      <c r="Q46" s="368"/>
      <c r="R46" s="12"/>
      <c r="S46" s="368"/>
      <c r="T46" s="12"/>
      <c r="U46" s="368"/>
      <c r="V46" s="11"/>
      <c r="W46" s="363"/>
      <c r="X46" s="11">
        <v>1</v>
      </c>
      <c r="Y46" s="363">
        <v>165</v>
      </c>
      <c r="Z46" s="11"/>
      <c r="AA46" s="363"/>
      <c r="AB46" s="11"/>
      <c r="AC46" s="363"/>
      <c r="AD46" s="11"/>
      <c r="AE46" s="363"/>
      <c r="AF46" s="11"/>
      <c r="AG46" s="363"/>
      <c r="AH46" s="11"/>
      <c r="AI46" s="363"/>
      <c r="AJ46" s="299"/>
      <c r="AK46" s="299"/>
      <c r="AL46" s="379">
        <f t="shared" si="6"/>
        <v>1</v>
      </c>
      <c r="AM46" s="381">
        <f t="shared" si="7"/>
        <v>165</v>
      </c>
    </row>
    <row r="47" spans="1:39" ht="21">
      <c r="A47" s="10" t="s">
        <v>345</v>
      </c>
      <c r="B47" s="137">
        <v>1</v>
      </c>
      <c r="C47" s="333">
        <v>400.8</v>
      </c>
      <c r="D47" s="12"/>
      <c r="E47" s="333"/>
      <c r="F47" s="137"/>
      <c r="G47" s="333"/>
      <c r="H47" s="15"/>
      <c r="I47" s="835"/>
      <c r="J47" s="12"/>
      <c r="K47" s="368"/>
      <c r="L47" s="12"/>
      <c r="M47" s="368"/>
      <c r="N47" s="12"/>
      <c r="O47" s="368"/>
      <c r="P47" s="12"/>
      <c r="Q47" s="368"/>
      <c r="R47" s="12"/>
      <c r="S47" s="368"/>
      <c r="T47" s="12"/>
      <c r="U47" s="368"/>
      <c r="V47" s="11">
        <v>1</v>
      </c>
      <c r="W47" s="363">
        <v>88.6</v>
      </c>
      <c r="X47" s="11">
        <v>1</v>
      </c>
      <c r="Y47" s="363">
        <v>574.7</v>
      </c>
      <c r="Z47" s="11"/>
      <c r="AA47" s="363"/>
      <c r="AB47" s="11"/>
      <c r="AC47" s="363"/>
      <c r="AD47" s="11"/>
      <c r="AE47" s="363"/>
      <c r="AF47" s="11">
        <v>2</v>
      </c>
      <c r="AG47" s="363">
        <v>332.8</v>
      </c>
      <c r="AH47" s="11">
        <v>2</v>
      </c>
      <c r="AI47" s="363">
        <v>246.8</v>
      </c>
      <c r="AJ47" s="299"/>
      <c r="AK47" s="299"/>
      <c r="AL47" s="379">
        <f t="shared" si="6"/>
        <v>7</v>
      </c>
      <c r="AM47" s="381">
        <f t="shared" si="7"/>
        <v>1643.6999999999998</v>
      </c>
    </row>
    <row r="48" spans="1:39" ht="21">
      <c r="A48" s="10" t="s">
        <v>354</v>
      </c>
      <c r="B48" s="137">
        <v>1</v>
      </c>
      <c r="C48" s="333">
        <v>181.4</v>
      </c>
      <c r="D48" s="12"/>
      <c r="E48" s="333"/>
      <c r="F48" s="137"/>
      <c r="G48" s="333"/>
      <c r="H48" s="15"/>
      <c r="I48" s="835"/>
      <c r="J48" s="12"/>
      <c r="K48" s="368"/>
      <c r="L48" s="12"/>
      <c r="M48" s="368"/>
      <c r="N48" s="12"/>
      <c r="O48" s="368"/>
      <c r="P48" s="12"/>
      <c r="Q48" s="368"/>
      <c r="R48" s="12"/>
      <c r="S48" s="368"/>
      <c r="T48" s="12"/>
      <c r="U48" s="368"/>
      <c r="V48" s="11"/>
      <c r="W48" s="363"/>
      <c r="X48" s="11">
        <v>4</v>
      </c>
      <c r="Y48" s="363">
        <v>559.4</v>
      </c>
      <c r="Z48" s="11"/>
      <c r="AA48" s="363"/>
      <c r="AB48" s="11"/>
      <c r="AC48" s="363"/>
      <c r="AD48" s="11"/>
      <c r="AE48" s="363"/>
      <c r="AF48" s="11">
        <v>2</v>
      </c>
      <c r="AG48" s="363">
        <v>382</v>
      </c>
      <c r="AH48" s="11"/>
      <c r="AI48" s="363"/>
      <c r="AJ48" s="299"/>
      <c r="AK48" s="299"/>
      <c r="AL48" s="379">
        <f t="shared" si="6"/>
        <v>7</v>
      </c>
      <c r="AM48" s="381">
        <f t="shared" si="7"/>
        <v>1122.8</v>
      </c>
    </row>
    <row r="49" spans="1:39" ht="21">
      <c r="A49" s="10" t="s">
        <v>587</v>
      </c>
      <c r="B49" s="137">
        <v>7</v>
      </c>
      <c r="C49" s="333">
        <v>1030</v>
      </c>
      <c r="D49" s="12"/>
      <c r="E49" s="333"/>
      <c r="F49" s="137"/>
      <c r="G49" s="333"/>
      <c r="H49" s="15"/>
      <c r="I49" s="835"/>
      <c r="J49" s="12"/>
      <c r="K49" s="368"/>
      <c r="L49" s="12"/>
      <c r="M49" s="368"/>
      <c r="N49" s="12"/>
      <c r="O49" s="368"/>
      <c r="P49" s="12"/>
      <c r="Q49" s="368"/>
      <c r="R49" s="12"/>
      <c r="S49" s="368"/>
      <c r="T49" s="12"/>
      <c r="U49" s="368"/>
      <c r="V49" s="11"/>
      <c r="W49" s="363"/>
      <c r="X49" s="11">
        <v>3</v>
      </c>
      <c r="Y49" s="363">
        <v>430.6</v>
      </c>
      <c r="Z49" s="11"/>
      <c r="AA49" s="363"/>
      <c r="AB49" s="11"/>
      <c r="AC49" s="363"/>
      <c r="AD49" s="11"/>
      <c r="AE49" s="363"/>
      <c r="AF49" s="11"/>
      <c r="AG49" s="363"/>
      <c r="AH49" s="11"/>
      <c r="AI49" s="363"/>
      <c r="AJ49" s="299"/>
      <c r="AK49" s="299"/>
      <c r="AL49" s="379">
        <f t="shared" si="6"/>
        <v>10</v>
      </c>
      <c r="AM49" s="381">
        <f t="shared" si="7"/>
        <v>1460.6</v>
      </c>
    </row>
    <row r="50" spans="1:39" ht="21">
      <c r="A50" s="10" t="s">
        <v>376</v>
      </c>
      <c r="B50" s="137">
        <v>4</v>
      </c>
      <c r="C50" s="333">
        <v>1215.2</v>
      </c>
      <c r="D50" s="12"/>
      <c r="E50" s="333"/>
      <c r="F50" s="137"/>
      <c r="G50" s="333"/>
      <c r="H50" s="15"/>
      <c r="I50" s="835"/>
      <c r="J50" s="12"/>
      <c r="K50" s="368"/>
      <c r="L50" s="12"/>
      <c r="M50" s="368"/>
      <c r="N50" s="12"/>
      <c r="O50" s="368"/>
      <c r="P50" s="12"/>
      <c r="Q50" s="368"/>
      <c r="R50" s="12"/>
      <c r="S50" s="368"/>
      <c r="T50" s="12"/>
      <c r="U50" s="368"/>
      <c r="V50" s="11"/>
      <c r="W50" s="363"/>
      <c r="X50" s="11"/>
      <c r="Y50" s="363"/>
      <c r="Z50" s="11"/>
      <c r="AA50" s="363"/>
      <c r="AB50" s="11"/>
      <c r="AC50" s="363"/>
      <c r="AD50" s="11"/>
      <c r="AE50" s="363"/>
      <c r="AF50" s="11"/>
      <c r="AG50" s="363"/>
      <c r="AH50" s="11"/>
      <c r="AI50" s="363"/>
      <c r="AJ50" s="299"/>
      <c r="AK50" s="299"/>
      <c r="AL50" s="379">
        <f t="shared" si="6"/>
        <v>4</v>
      </c>
      <c r="AM50" s="381">
        <f t="shared" si="7"/>
        <v>1215.2</v>
      </c>
    </row>
    <row r="51" spans="1:39" ht="21">
      <c r="A51" s="10" t="s">
        <v>35</v>
      </c>
      <c r="B51" s="137">
        <v>10</v>
      </c>
      <c r="C51" s="333">
        <v>1120.8</v>
      </c>
      <c r="D51" s="12"/>
      <c r="E51" s="333"/>
      <c r="F51" s="137"/>
      <c r="G51" s="333"/>
      <c r="H51" s="15"/>
      <c r="I51" s="835"/>
      <c r="J51" s="12"/>
      <c r="K51" s="368"/>
      <c r="L51" s="12"/>
      <c r="M51" s="368"/>
      <c r="N51" s="12"/>
      <c r="O51" s="368"/>
      <c r="P51" s="12"/>
      <c r="Q51" s="368"/>
      <c r="R51" s="12"/>
      <c r="S51" s="368"/>
      <c r="T51" s="12"/>
      <c r="U51" s="368"/>
      <c r="V51" s="11">
        <v>2</v>
      </c>
      <c r="W51" s="363">
        <v>323.2</v>
      </c>
      <c r="X51" s="11"/>
      <c r="Y51" s="363">
        <v>179</v>
      </c>
      <c r="Z51" s="11">
        <v>3</v>
      </c>
      <c r="AA51" s="363">
        <v>543.3</v>
      </c>
      <c r="AB51" s="11"/>
      <c r="AC51" s="363"/>
      <c r="AD51" s="11"/>
      <c r="AE51" s="363"/>
      <c r="AF51" s="11"/>
      <c r="AG51" s="363"/>
      <c r="AH51" s="11">
        <v>4</v>
      </c>
      <c r="AI51" s="363">
        <v>399.3</v>
      </c>
      <c r="AJ51" s="299"/>
      <c r="AK51" s="299"/>
      <c r="AL51" s="379">
        <f t="shared" si="6"/>
        <v>19</v>
      </c>
      <c r="AM51" s="381">
        <f t="shared" si="7"/>
        <v>2565.6000000000004</v>
      </c>
    </row>
    <row r="52" spans="1:39" ht="21">
      <c r="A52" s="10" t="s">
        <v>199</v>
      </c>
      <c r="B52" s="137">
        <v>2</v>
      </c>
      <c r="C52" s="333">
        <v>1148.4</v>
      </c>
      <c r="D52" s="12"/>
      <c r="E52" s="333"/>
      <c r="F52" s="137"/>
      <c r="G52" s="333"/>
      <c r="H52" s="15"/>
      <c r="I52" s="835"/>
      <c r="J52" s="12">
        <v>1</v>
      </c>
      <c r="K52" s="368">
        <v>464.5</v>
      </c>
      <c r="L52" s="12"/>
      <c r="M52" s="368"/>
      <c r="N52" s="12"/>
      <c r="O52" s="368"/>
      <c r="P52" s="12"/>
      <c r="Q52" s="368"/>
      <c r="R52" s="12"/>
      <c r="S52" s="368"/>
      <c r="T52" s="12"/>
      <c r="U52" s="368"/>
      <c r="V52" s="11"/>
      <c r="W52" s="363">
        <v>349.5</v>
      </c>
      <c r="X52" s="11"/>
      <c r="Y52" s="363">
        <v>803.9000000000001</v>
      </c>
      <c r="Z52" s="11">
        <v>2</v>
      </c>
      <c r="AA52" s="363">
        <v>1432.5</v>
      </c>
      <c r="AB52" s="11"/>
      <c r="AC52" s="363"/>
      <c r="AD52" s="11">
        <v>2</v>
      </c>
      <c r="AE52" s="363">
        <v>755.9</v>
      </c>
      <c r="AF52" s="11"/>
      <c r="AG52" s="363"/>
      <c r="AH52" s="11"/>
      <c r="AI52" s="363"/>
      <c r="AJ52" s="299">
        <v>1</v>
      </c>
      <c r="AK52" s="299">
        <v>188</v>
      </c>
      <c r="AL52" s="379">
        <f t="shared" si="6"/>
        <v>8</v>
      </c>
      <c r="AM52" s="381">
        <f t="shared" si="7"/>
        <v>5142.7</v>
      </c>
    </row>
    <row r="53" spans="1:39" ht="21">
      <c r="A53" s="10" t="s">
        <v>168</v>
      </c>
      <c r="B53" s="137"/>
      <c r="C53" s="333"/>
      <c r="D53" s="12"/>
      <c r="E53" s="333"/>
      <c r="F53" s="137"/>
      <c r="G53" s="333"/>
      <c r="H53" s="15"/>
      <c r="I53" s="835"/>
      <c r="J53" s="12"/>
      <c r="K53" s="368"/>
      <c r="L53" s="12"/>
      <c r="M53" s="368"/>
      <c r="N53" s="12"/>
      <c r="O53" s="368"/>
      <c r="P53" s="12"/>
      <c r="Q53" s="368"/>
      <c r="R53" s="12"/>
      <c r="S53" s="368"/>
      <c r="T53" s="12"/>
      <c r="U53" s="368"/>
      <c r="V53" s="11"/>
      <c r="W53" s="363"/>
      <c r="X53" s="11"/>
      <c r="Y53" s="363"/>
      <c r="Z53" s="11">
        <v>1</v>
      </c>
      <c r="AA53" s="363">
        <v>183.1</v>
      </c>
      <c r="AB53" s="11"/>
      <c r="AC53" s="363"/>
      <c r="AD53" s="11"/>
      <c r="AE53" s="363"/>
      <c r="AF53" s="11"/>
      <c r="AG53" s="363"/>
      <c r="AH53" s="11"/>
      <c r="AI53" s="363"/>
      <c r="AJ53" s="299"/>
      <c r="AK53" s="299"/>
      <c r="AL53" s="379">
        <f t="shared" si="6"/>
        <v>1</v>
      </c>
      <c r="AM53" s="381">
        <f t="shared" si="7"/>
        <v>183.1</v>
      </c>
    </row>
    <row r="54" spans="1:39" ht="21">
      <c r="A54" s="10" t="s">
        <v>36</v>
      </c>
      <c r="B54" s="137"/>
      <c r="C54" s="333"/>
      <c r="D54" s="12"/>
      <c r="E54" s="333"/>
      <c r="F54" s="137"/>
      <c r="G54" s="333"/>
      <c r="H54" s="15"/>
      <c r="I54" s="835"/>
      <c r="J54" s="12"/>
      <c r="K54" s="368"/>
      <c r="L54" s="12"/>
      <c r="M54" s="368"/>
      <c r="N54" s="12"/>
      <c r="O54" s="368"/>
      <c r="P54" s="12"/>
      <c r="Q54" s="368"/>
      <c r="R54" s="12"/>
      <c r="S54" s="368"/>
      <c r="T54" s="12"/>
      <c r="U54" s="368"/>
      <c r="V54" s="11"/>
      <c r="W54" s="363"/>
      <c r="X54" s="11">
        <v>2</v>
      </c>
      <c r="Y54" s="363">
        <v>548</v>
      </c>
      <c r="Z54" s="11"/>
      <c r="AA54" s="363">
        <v>714.6</v>
      </c>
      <c r="AB54" s="11"/>
      <c r="AC54" s="363"/>
      <c r="AD54" s="11"/>
      <c r="AE54" s="363">
        <v>80.9</v>
      </c>
      <c r="AF54" s="11">
        <v>2</v>
      </c>
      <c r="AG54" s="363">
        <v>338.2</v>
      </c>
      <c r="AH54" s="11"/>
      <c r="AI54" s="363"/>
      <c r="AJ54" s="299"/>
      <c r="AK54" s="299"/>
      <c r="AL54" s="379">
        <f t="shared" si="6"/>
        <v>4</v>
      </c>
      <c r="AM54" s="381">
        <f t="shared" si="7"/>
        <v>1681.7</v>
      </c>
    </row>
    <row r="55" spans="1:39" ht="21">
      <c r="A55" s="10" t="s">
        <v>273</v>
      </c>
      <c r="B55" s="137"/>
      <c r="C55" s="333"/>
      <c r="D55" s="12"/>
      <c r="E55" s="333"/>
      <c r="F55" s="137"/>
      <c r="G55" s="333"/>
      <c r="H55" s="15"/>
      <c r="I55" s="835"/>
      <c r="J55" s="12"/>
      <c r="K55" s="368"/>
      <c r="L55" s="12"/>
      <c r="M55" s="368"/>
      <c r="N55" s="12"/>
      <c r="O55" s="368"/>
      <c r="P55" s="12"/>
      <c r="Q55" s="368"/>
      <c r="R55" s="12"/>
      <c r="S55" s="368"/>
      <c r="T55" s="12"/>
      <c r="U55" s="368"/>
      <c r="V55" s="11">
        <v>3</v>
      </c>
      <c r="W55" s="363">
        <v>703.9</v>
      </c>
      <c r="X55" s="11"/>
      <c r="Y55" s="363"/>
      <c r="Z55" s="11"/>
      <c r="AA55" s="363"/>
      <c r="AB55" s="11"/>
      <c r="AC55" s="363"/>
      <c r="AD55" s="11"/>
      <c r="AE55" s="363"/>
      <c r="AF55" s="11"/>
      <c r="AG55" s="363"/>
      <c r="AH55" s="11"/>
      <c r="AI55" s="363"/>
      <c r="AJ55" s="299"/>
      <c r="AK55" s="299"/>
      <c r="AL55" s="379">
        <f t="shared" si="6"/>
        <v>3</v>
      </c>
      <c r="AM55" s="381">
        <f t="shared" si="7"/>
        <v>703.9</v>
      </c>
    </row>
    <row r="56" spans="1:39" ht="21">
      <c r="A56" s="10" t="s">
        <v>200</v>
      </c>
      <c r="B56" s="137">
        <v>12</v>
      </c>
      <c r="C56" s="333">
        <v>1910.7</v>
      </c>
      <c r="D56" s="12"/>
      <c r="E56" s="333"/>
      <c r="F56" s="137"/>
      <c r="G56" s="333"/>
      <c r="H56" s="15"/>
      <c r="I56" s="835"/>
      <c r="J56" s="12"/>
      <c r="K56" s="368"/>
      <c r="L56" s="12"/>
      <c r="M56" s="368"/>
      <c r="N56" s="12"/>
      <c r="O56" s="368"/>
      <c r="P56" s="12"/>
      <c r="Q56" s="368"/>
      <c r="R56" s="12"/>
      <c r="S56" s="368"/>
      <c r="T56" s="12"/>
      <c r="U56" s="368"/>
      <c r="V56" s="11"/>
      <c r="W56" s="363"/>
      <c r="X56" s="11"/>
      <c r="Y56" s="363"/>
      <c r="Z56" s="11">
        <v>4</v>
      </c>
      <c r="AA56" s="363">
        <v>775.7</v>
      </c>
      <c r="AB56" s="11">
        <v>1</v>
      </c>
      <c r="AC56" s="363">
        <v>46.2</v>
      </c>
      <c r="AD56" s="11"/>
      <c r="AE56" s="363"/>
      <c r="AF56" s="11"/>
      <c r="AG56" s="363"/>
      <c r="AH56" s="11"/>
      <c r="AI56" s="363"/>
      <c r="AJ56" s="299"/>
      <c r="AK56" s="299"/>
      <c r="AL56" s="379">
        <f t="shared" si="6"/>
        <v>17</v>
      </c>
      <c r="AM56" s="381">
        <f t="shared" si="7"/>
        <v>2732.6</v>
      </c>
    </row>
    <row r="57" spans="1:39" ht="21">
      <c r="A57" s="10" t="s">
        <v>588</v>
      </c>
      <c r="B57" s="137"/>
      <c r="C57" s="333"/>
      <c r="D57" s="12"/>
      <c r="E57" s="333"/>
      <c r="F57" s="137"/>
      <c r="G57" s="333"/>
      <c r="H57" s="15"/>
      <c r="I57" s="835"/>
      <c r="J57" s="12"/>
      <c r="K57" s="368"/>
      <c r="L57" s="12"/>
      <c r="M57" s="368"/>
      <c r="N57" s="12"/>
      <c r="O57" s="368"/>
      <c r="P57" s="12"/>
      <c r="Q57" s="368"/>
      <c r="R57" s="12"/>
      <c r="S57" s="368"/>
      <c r="T57" s="12"/>
      <c r="U57" s="368"/>
      <c r="V57" s="11"/>
      <c r="W57" s="363"/>
      <c r="X57" s="11">
        <v>1</v>
      </c>
      <c r="Y57" s="363">
        <v>165</v>
      </c>
      <c r="Z57" s="11"/>
      <c r="AA57" s="363"/>
      <c r="AB57" s="11"/>
      <c r="AC57" s="363"/>
      <c r="AD57" s="11"/>
      <c r="AE57" s="363"/>
      <c r="AF57" s="11"/>
      <c r="AG57" s="363"/>
      <c r="AH57" s="11"/>
      <c r="AI57" s="363"/>
      <c r="AJ57" s="299"/>
      <c r="AK57" s="299"/>
      <c r="AL57" s="379">
        <f t="shared" si="6"/>
        <v>1</v>
      </c>
      <c r="AM57" s="381">
        <f t="shared" si="7"/>
        <v>165</v>
      </c>
    </row>
    <row r="58" spans="1:39" ht="21">
      <c r="A58" s="10" t="s">
        <v>37</v>
      </c>
      <c r="B58" s="137"/>
      <c r="C58" s="333">
        <v>272</v>
      </c>
      <c r="D58" s="12"/>
      <c r="E58" s="333"/>
      <c r="F58" s="137">
        <v>1</v>
      </c>
      <c r="G58" s="333">
        <v>87.9</v>
      </c>
      <c r="H58" s="15"/>
      <c r="I58" s="835"/>
      <c r="J58" s="12"/>
      <c r="K58" s="368"/>
      <c r="L58" s="12">
        <v>3</v>
      </c>
      <c r="M58" s="368">
        <v>344</v>
      </c>
      <c r="N58" s="12"/>
      <c r="O58" s="368"/>
      <c r="P58" s="12"/>
      <c r="Q58" s="368"/>
      <c r="R58" s="12"/>
      <c r="S58" s="368"/>
      <c r="T58" s="12"/>
      <c r="U58" s="368"/>
      <c r="V58" s="11"/>
      <c r="W58" s="363"/>
      <c r="X58" s="11">
        <v>5</v>
      </c>
      <c r="Y58" s="363">
        <v>579.4</v>
      </c>
      <c r="Z58" s="11"/>
      <c r="AA58" s="363">
        <v>486.9</v>
      </c>
      <c r="AB58" s="11"/>
      <c r="AC58" s="363"/>
      <c r="AD58" s="11"/>
      <c r="AE58" s="363">
        <v>89.4</v>
      </c>
      <c r="AF58" s="11">
        <v>3</v>
      </c>
      <c r="AG58" s="363">
        <v>478.1</v>
      </c>
      <c r="AH58" s="11"/>
      <c r="AI58" s="363"/>
      <c r="AJ58" s="299"/>
      <c r="AK58" s="299"/>
      <c r="AL58" s="379">
        <f t="shared" si="6"/>
        <v>12</v>
      </c>
      <c r="AM58" s="381">
        <f t="shared" si="7"/>
        <v>2337.7</v>
      </c>
    </row>
    <row r="59" spans="1:39" ht="21">
      <c r="A59" s="10" t="s">
        <v>347</v>
      </c>
      <c r="B59" s="137"/>
      <c r="C59" s="333"/>
      <c r="D59" s="12"/>
      <c r="E59" s="333"/>
      <c r="F59" s="137"/>
      <c r="G59" s="333"/>
      <c r="H59" s="15"/>
      <c r="I59" s="835"/>
      <c r="J59" s="12"/>
      <c r="K59" s="368"/>
      <c r="L59" s="12">
        <v>2</v>
      </c>
      <c r="M59" s="368">
        <v>281.2</v>
      </c>
      <c r="N59" s="12"/>
      <c r="O59" s="368"/>
      <c r="P59" s="12"/>
      <c r="Q59" s="368"/>
      <c r="R59" s="12"/>
      <c r="S59" s="368"/>
      <c r="T59" s="12"/>
      <c r="U59" s="368"/>
      <c r="V59" s="11"/>
      <c r="W59" s="363"/>
      <c r="X59" s="11"/>
      <c r="Y59" s="363">
        <v>332.8</v>
      </c>
      <c r="Z59" s="11"/>
      <c r="AA59" s="363">
        <v>514</v>
      </c>
      <c r="AB59" s="11"/>
      <c r="AC59" s="363"/>
      <c r="AD59" s="11"/>
      <c r="AE59" s="363">
        <v>513.1</v>
      </c>
      <c r="AF59" s="11"/>
      <c r="AG59" s="363"/>
      <c r="AH59" s="11">
        <v>2</v>
      </c>
      <c r="AI59" s="363">
        <v>253.6</v>
      </c>
      <c r="AJ59" s="299"/>
      <c r="AK59" s="299"/>
      <c r="AL59" s="379">
        <f t="shared" si="6"/>
        <v>4</v>
      </c>
      <c r="AM59" s="381">
        <f t="shared" si="7"/>
        <v>1894.6999999999998</v>
      </c>
    </row>
    <row r="60" spans="1:39" ht="21">
      <c r="A60" s="10" t="s">
        <v>422</v>
      </c>
      <c r="B60" s="137">
        <v>1</v>
      </c>
      <c r="C60" s="333">
        <v>233.9</v>
      </c>
      <c r="D60" s="12"/>
      <c r="E60" s="333"/>
      <c r="F60" s="137"/>
      <c r="G60" s="333"/>
      <c r="H60" s="15"/>
      <c r="I60" s="835"/>
      <c r="J60" s="12"/>
      <c r="K60" s="368"/>
      <c r="L60" s="12"/>
      <c r="M60" s="368"/>
      <c r="N60" s="12"/>
      <c r="O60" s="368"/>
      <c r="P60" s="12"/>
      <c r="Q60" s="368"/>
      <c r="R60" s="12"/>
      <c r="S60" s="368"/>
      <c r="T60" s="12"/>
      <c r="U60" s="368"/>
      <c r="V60" s="11">
        <v>2</v>
      </c>
      <c r="W60" s="363">
        <v>445.4</v>
      </c>
      <c r="X60" s="11">
        <v>2</v>
      </c>
      <c r="Y60" s="363">
        <v>474.3</v>
      </c>
      <c r="Z60" s="11"/>
      <c r="AA60" s="363"/>
      <c r="AB60" s="11"/>
      <c r="AC60" s="363"/>
      <c r="AD60" s="11"/>
      <c r="AE60" s="363"/>
      <c r="AF60" s="11"/>
      <c r="AG60" s="363"/>
      <c r="AH60" s="11"/>
      <c r="AI60" s="363"/>
      <c r="AJ60" s="299"/>
      <c r="AK60" s="299"/>
      <c r="AL60" s="379">
        <f t="shared" si="6"/>
        <v>5</v>
      </c>
      <c r="AM60" s="381">
        <f t="shared" si="7"/>
        <v>1153.6</v>
      </c>
    </row>
    <row r="61" spans="1:39" ht="21">
      <c r="A61" s="10" t="s">
        <v>38</v>
      </c>
      <c r="B61" s="137">
        <v>11</v>
      </c>
      <c r="C61" s="333">
        <v>1631.4</v>
      </c>
      <c r="D61" s="12"/>
      <c r="E61" s="333"/>
      <c r="F61" s="137"/>
      <c r="G61" s="333"/>
      <c r="H61" s="15"/>
      <c r="I61" s="835"/>
      <c r="J61" s="12"/>
      <c r="K61" s="368"/>
      <c r="L61" s="12">
        <v>2</v>
      </c>
      <c r="M61" s="368">
        <v>282.8</v>
      </c>
      <c r="N61" s="12"/>
      <c r="O61" s="368"/>
      <c r="P61" s="12"/>
      <c r="Q61" s="368"/>
      <c r="R61" s="12"/>
      <c r="S61" s="368"/>
      <c r="T61" s="12"/>
      <c r="U61" s="368"/>
      <c r="V61" s="11"/>
      <c r="W61" s="363"/>
      <c r="X61" s="11">
        <v>2</v>
      </c>
      <c r="Y61" s="363">
        <v>273.6</v>
      </c>
      <c r="Z61" s="11"/>
      <c r="AA61" s="363"/>
      <c r="AB61" s="11"/>
      <c r="AC61" s="363">
        <v>406.4</v>
      </c>
      <c r="AD61" s="11"/>
      <c r="AE61" s="363"/>
      <c r="AF61" s="11">
        <v>2</v>
      </c>
      <c r="AG61" s="363">
        <v>280.6</v>
      </c>
      <c r="AH61" s="11">
        <v>2</v>
      </c>
      <c r="AI61" s="363">
        <v>251.4</v>
      </c>
      <c r="AJ61" s="299"/>
      <c r="AK61" s="299"/>
      <c r="AL61" s="379">
        <f t="shared" si="6"/>
        <v>19</v>
      </c>
      <c r="AM61" s="381">
        <f t="shared" si="7"/>
        <v>3126.2000000000003</v>
      </c>
    </row>
    <row r="62" spans="1:39" ht="21">
      <c r="A62" s="10" t="s">
        <v>39</v>
      </c>
      <c r="B62" s="137"/>
      <c r="C62" s="333">
        <v>374</v>
      </c>
      <c r="D62" s="12"/>
      <c r="E62" s="333"/>
      <c r="F62" s="137"/>
      <c r="G62" s="333"/>
      <c r="H62" s="15"/>
      <c r="I62" s="835"/>
      <c r="J62" s="12"/>
      <c r="K62" s="368">
        <v>275.1</v>
      </c>
      <c r="L62" s="12"/>
      <c r="M62" s="368"/>
      <c r="N62" s="12"/>
      <c r="O62" s="368"/>
      <c r="P62" s="12"/>
      <c r="Q62" s="368"/>
      <c r="R62" s="12"/>
      <c r="S62" s="368"/>
      <c r="T62" s="12"/>
      <c r="U62" s="368"/>
      <c r="V62" s="11"/>
      <c r="W62" s="363">
        <v>997.6</v>
      </c>
      <c r="X62" s="11"/>
      <c r="Y62" s="363">
        <v>332.8</v>
      </c>
      <c r="Z62" s="11">
        <v>2</v>
      </c>
      <c r="AA62" s="363">
        <v>683.9000000000001</v>
      </c>
      <c r="AB62" s="11"/>
      <c r="AC62" s="363"/>
      <c r="AD62" s="11">
        <v>1</v>
      </c>
      <c r="AE62" s="363">
        <v>200.3</v>
      </c>
      <c r="AF62" s="11"/>
      <c r="AG62" s="363"/>
      <c r="AH62" s="11"/>
      <c r="AI62" s="363"/>
      <c r="AJ62" s="299"/>
      <c r="AK62" s="299"/>
      <c r="AL62" s="379">
        <f t="shared" si="6"/>
        <v>3</v>
      </c>
      <c r="AM62" s="381">
        <f t="shared" si="7"/>
        <v>2863.7000000000007</v>
      </c>
    </row>
    <row r="63" spans="1:39" ht="21">
      <c r="A63" s="10" t="s">
        <v>424</v>
      </c>
      <c r="B63" s="137">
        <v>12</v>
      </c>
      <c r="C63" s="333">
        <v>1974.5</v>
      </c>
      <c r="D63" s="12"/>
      <c r="E63" s="333"/>
      <c r="F63" s="137"/>
      <c r="G63" s="333"/>
      <c r="H63" s="15"/>
      <c r="I63" s="835"/>
      <c r="J63" s="12"/>
      <c r="K63" s="368"/>
      <c r="L63" s="12"/>
      <c r="M63" s="368"/>
      <c r="N63" s="12"/>
      <c r="O63" s="368"/>
      <c r="P63" s="12"/>
      <c r="Q63" s="368"/>
      <c r="R63" s="12"/>
      <c r="S63" s="368"/>
      <c r="T63" s="12"/>
      <c r="U63" s="368"/>
      <c r="V63" s="11"/>
      <c r="W63" s="363"/>
      <c r="X63" s="11"/>
      <c r="Y63" s="363"/>
      <c r="Z63" s="11">
        <v>1</v>
      </c>
      <c r="AA63" s="363">
        <v>226.1</v>
      </c>
      <c r="AB63" s="11"/>
      <c r="AC63" s="363"/>
      <c r="AD63" s="11"/>
      <c r="AE63" s="363"/>
      <c r="AF63" s="11"/>
      <c r="AG63" s="363"/>
      <c r="AH63" s="11"/>
      <c r="AI63" s="363"/>
      <c r="AJ63" s="299"/>
      <c r="AK63" s="299"/>
      <c r="AL63" s="379">
        <f t="shared" si="6"/>
        <v>13</v>
      </c>
      <c r="AM63" s="381">
        <f t="shared" si="7"/>
        <v>2200.6</v>
      </c>
    </row>
    <row r="64" spans="1:39" ht="21">
      <c r="A64" s="10" t="s">
        <v>40</v>
      </c>
      <c r="B64" s="137">
        <v>2</v>
      </c>
      <c r="C64" s="333">
        <v>296.9</v>
      </c>
      <c r="D64" s="12"/>
      <c r="E64" s="333"/>
      <c r="F64" s="137"/>
      <c r="G64" s="333"/>
      <c r="H64" s="15"/>
      <c r="I64" s="835"/>
      <c r="J64" s="12"/>
      <c r="K64" s="368"/>
      <c r="L64" s="12"/>
      <c r="M64" s="368"/>
      <c r="N64" s="12"/>
      <c r="O64" s="368"/>
      <c r="P64" s="12"/>
      <c r="Q64" s="368"/>
      <c r="R64" s="12"/>
      <c r="S64" s="368"/>
      <c r="T64" s="12"/>
      <c r="U64" s="368"/>
      <c r="V64" s="11"/>
      <c r="W64" s="363"/>
      <c r="X64" s="11">
        <v>3</v>
      </c>
      <c r="Y64" s="363">
        <v>420.2</v>
      </c>
      <c r="Z64" s="11"/>
      <c r="AA64" s="363"/>
      <c r="AB64" s="11"/>
      <c r="AC64" s="363"/>
      <c r="AD64" s="11"/>
      <c r="AE64" s="363"/>
      <c r="AF64" s="11">
        <v>1</v>
      </c>
      <c r="AG64" s="363">
        <v>139</v>
      </c>
      <c r="AH64" s="11"/>
      <c r="AI64" s="363"/>
      <c r="AJ64" s="299"/>
      <c r="AK64" s="299"/>
      <c r="AL64" s="379">
        <f t="shared" si="6"/>
        <v>6</v>
      </c>
      <c r="AM64" s="381">
        <f t="shared" si="7"/>
        <v>856.0999999999999</v>
      </c>
    </row>
    <row r="65" spans="1:39" ht="21">
      <c r="A65" s="10" t="s">
        <v>41</v>
      </c>
      <c r="B65" s="137">
        <v>1</v>
      </c>
      <c r="C65" s="333">
        <v>157.6</v>
      </c>
      <c r="D65" s="12"/>
      <c r="E65" s="333"/>
      <c r="F65" s="137"/>
      <c r="G65" s="333"/>
      <c r="H65" s="15"/>
      <c r="I65" s="835"/>
      <c r="J65" s="12"/>
      <c r="K65" s="368"/>
      <c r="L65" s="12"/>
      <c r="M65" s="368"/>
      <c r="N65" s="12"/>
      <c r="O65" s="368"/>
      <c r="P65" s="12"/>
      <c r="Q65" s="368"/>
      <c r="R65" s="12"/>
      <c r="S65" s="368"/>
      <c r="T65" s="12"/>
      <c r="U65" s="368"/>
      <c r="V65" s="11"/>
      <c r="W65" s="363"/>
      <c r="X65" s="11"/>
      <c r="Y65" s="363"/>
      <c r="Z65" s="11">
        <v>3</v>
      </c>
      <c r="AA65" s="363">
        <v>528.6</v>
      </c>
      <c r="AB65" s="11"/>
      <c r="AC65" s="363"/>
      <c r="AD65" s="11"/>
      <c r="AE65" s="363"/>
      <c r="AF65" s="11"/>
      <c r="AG65" s="363"/>
      <c r="AH65" s="11">
        <v>1</v>
      </c>
      <c r="AI65" s="363">
        <v>105.7</v>
      </c>
      <c r="AJ65" s="299"/>
      <c r="AK65" s="299"/>
      <c r="AL65" s="379">
        <f t="shared" si="6"/>
        <v>5</v>
      </c>
      <c r="AM65" s="381">
        <f t="shared" si="7"/>
        <v>791.9000000000001</v>
      </c>
    </row>
    <row r="66" spans="1:39" ht="21">
      <c r="A66" s="10" t="s">
        <v>42</v>
      </c>
      <c r="B66" s="137"/>
      <c r="C66" s="333">
        <v>532.8</v>
      </c>
      <c r="D66" s="12"/>
      <c r="E66" s="333"/>
      <c r="F66" s="137"/>
      <c r="G66" s="333"/>
      <c r="H66" s="15"/>
      <c r="I66" s="835">
        <v>457.7</v>
      </c>
      <c r="J66" s="12"/>
      <c r="K66" s="368"/>
      <c r="L66" s="12"/>
      <c r="M66" s="368"/>
      <c r="N66" s="12"/>
      <c r="O66" s="368"/>
      <c r="P66" s="12"/>
      <c r="Q66" s="368"/>
      <c r="R66" s="12">
        <v>1</v>
      </c>
      <c r="S66" s="368">
        <v>91</v>
      </c>
      <c r="T66" s="12"/>
      <c r="U66" s="368"/>
      <c r="V66" s="11"/>
      <c r="W66" s="363"/>
      <c r="X66" s="11">
        <v>1</v>
      </c>
      <c r="Y66" s="363">
        <v>87.6</v>
      </c>
      <c r="Z66" s="11"/>
      <c r="AA66" s="363"/>
      <c r="AB66" s="11"/>
      <c r="AC66" s="363"/>
      <c r="AD66" s="11">
        <v>2</v>
      </c>
      <c r="AE66" s="363">
        <v>320.6</v>
      </c>
      <c r="AF66" s="11">
        <v>2</v>
      </c>
      <c r="AG66" s="363">
        <v>200.8</v>
      </c>
      <c r="AH66" s="11">
        <v>3</v>
      </c>
      <c r="AI66" s="363">
        <v>404.6</v>
      </c>
      <c r="AJ66" s="299"/>
      <c r="AK66" s="299">
        <v>571.5</v>
      </c>
      <c r="AL66" s="379">
        <f t="shared" si="6"/>
        <v>9</v>
      </c>
      <c r="AM66" s="381">
        <f t="shared" si="7"/>
        <v>2666.6</v>
      </c>
    </row>
    <row r="67" spans="1:39" ht="21">
      <c r="A67" s="10" t="s">
        <v>43</v>
      </c>
      <c r="B67" s="137">
        <v>2</v>
      </c>
      <c r="C67" s="333">
        <v>294</v>
      </c>
      <c r="D67" s="12"/>
      <c r="E67" s="333"/>
      <c r="F67" s="137"/>
      <c r="G67" s="333"/>
      <c r="H67" s="15"/>
      <c r="I67" s="835"/>
      <c r="J67" s="12"/>
      <c r="K67" s="368"/>
      <c r="L67" s="12"/>
      <c r="M67" s="368"/>
      <c r="N67" s="12"/>
      <c r="O67" s="368"/>
      <c r="P67" s="12"/>
      <c r="Q67" s="368"/>
      <c r="R67" s="12"/>
      <c r="S67" s="368"/>
      <c r="T67" s="12"/>
      <c r="U67" s="368"/>
      <c r="V67" s="11"/>
      <c r="W67" s="363"/>
      <c r="X67" s="11"/>
      <c r="Y67" s="363"/>
      <c r="Z67" s="11"/>
      <c r="AA67" s="363"/>
      <c r="AB67" s="11"/>
      <c r="AC67" s="363"/>
      <c r="AD67" s="11"/>
      <c r="AE67" s="363"/>
      <c r="AF67" s="11"/>
      <c r="AG67" s="363"/>
      <c r="AH67" s="11"/>
      <c r="AI67" s="363"/>
      <c r="AJ67" s="299"/>
      <c r="AK67" s="299"/>
      <c r="AL67" s="379">
        <f t="shared" si="6"/>
        <v>2</v>
      </c>
      <c r="AM67" s="381">
        <f t="shared" si="7"/>
        <v>294</v>
      </c>
    </row>
    <row r="68" spans="1:39" ht="21">
      <c r="A68" s="10" t="s">
        <v>427</v>
      </c>
      <c r="B68" s="137">
        <v>1</v>
      </c>
      <c r="C68" s="333">
        <v>85.7</v>
      </c>
      <c r="D68" s="12"/>
      <c r="E68" s="333"/>
      <c r="F68" s="137"/>
      <c r="G68" s="333"/>
      <c r="H68" s="15"/>
      <c r="I68" s="835"/>
      <c r="J68" s="12"/>
      <c r="K68" s="368"/>
      <c r="L68" s="12"/>
      <c r="M68" s="368"/>
      <c r="N68" s="12"/>
      <c r="O68" s="368"/>
      <c r="P68" s="12"/>
      <c r="Q68" s="368"/>
      <c r="R68" s="12"/>
      <c r="S68" s="368"/>
      <c r="T68" s="12"/>
      <c r="U68" s="368"/>
      <c r="V68" s="11"/>
      <c r="W68" s="363"/>
      <c r="X68" s="11">
        <v>2</v>
      </c>
      <c r="Y68" s="363">
        <v>337.7</v>
      </c>
      <c r="Z68" s="11">
        <v>2</v>
      </c>
      <c r="AA68" s="363">
        <v>360.6</v>
      </c>
      <c r="AB68" s="11"/>
      <c r="AC68" s="363"/>
      <c r="AD68" s="11"/>
      <c r="AE68" s="363"/>
      <c r="AF68" s="11"/>
      <c r="AG68" s="363"/>
      <c r="AH68" s="11"/>
      <c r="AI68" s="363"/>
      <c r="AJ68" s="299"/>
      <c r="AK68" s="299"/>
      <c r="AL68" s="379">
        <f t="shared" si="6"/>
        <v>5</v>
      </c>
      <c r="AM68" s="381">
        <f t="shared" si="7"/>
        <v>784</v>
      </c>
    </row>
    <row r="69" spans="1:39" ht="21">
      <c r="A69" s="10" t="s">
        <v>658</v>
      </c>
      <c r="B69" s="137"/>
      <c r="C69" s="333"/>
      <c r="D69" s="12"/>
      <c r="E69" s="333"/>
      <c r="F69" s="137"/>
      <c r="G69" s="333"/>
      <c r="H69" s="15"/>
      <c r="I69" s="835"/>
      <c r="J69" s="12"/>
      <c r="K69" s="368"/>
      <c r="L69" s="12"/>
      <c r="M69" s="368"/>
      <c r="N69" s="12"/>
      <c r="O69" s="368"/>
      <c r="P69" s="12"/>
      <c r="Q69" s="368"/>
      <c r="R69" s="12"/>
      <c r="S69" s="368"/>
      <c r="T69" s="12"/>
      <c r="U69" s="368"/>
      <c r="V69" s="11"/>
      <c r="W69" s="363"/>
      <c r="X69" s="11">
        <v>3</v>
      </c>
      <c r="Y69" s="363">
        <v>515</v>
      </c>
      <c r="Z69" s="11"/>
      <c r="AA69" s="363"/>
      <c r="AB69" s="11"/>
      <c r="AC69" s="363"/>
      <c r="AD69" s="11"/>
      <c r="AE69" s="363"/>
      <c r="AF69" s="11"/>
      <c r="AG69" s="363"/>
      <c r="AH69" s="11"/>
      <c r="AI69" s="363"/>
      <c r="AJ69" s="299"/>
      <c r="AK69" s="299"/>
      <c r="AL69" s="379">
        <f t="shared" si="6"/>
        <v>3</v>
      </c>
      <c r="AM69" s="381">
        <f t="shared" si="7"/>
        <v>515</v>
      </c>
    </row>
    <row r="70" spans="1:39" ht="21">
      <c r="A70" s="10" t="s">
        <v>44</v>
      </c>
      <c r="B70" s="137"/>
      <c r="C70" s="333"/>
      <c r="D70" s="12"/>
      <c r="E70" s="333"/>
      <c r="F70" s="137"/>
      <c r="G70" s="333"/>
      <c r="H70" s="15"/>
      <c r="I70" s="835"/>
      <c r="J70" s="12"/>
      <c r="K70" s="368"/>
      <c r="L70" s="12"/>
      <c r="M70" s="368">
        <v>1093.9</v>
      </c>
      <c r="N70" s="12"/>
      <c r="O70" s="368"/>
      <c r="P70" s="12"/>
      <c r="Q70" s="368"/>
      <c r="R70" s="12"/>
      <c r="S70" s="368"/>
      <c r="T70" s="12"/>
      <c r="U70" s="368"/>
      <c r="V70" s="11"/>
      <c r="W70" s="363"/>
      <c r="X70" s="11">
        <v>1</v>
      </c>
      <c r="Y70" s="363">
        <v>136.6</v>
      </c>
      <c r="Z70" s="11">
        <v>7</v>
      </c>
      <c r="AA70" s="363">
        <v>2173.1</v>
      </c>
      <c r="AB70" s="11"/>
      <c r="AC70" s="363"/>
      <c r="AD70" s="11"/>
      <c r="AE70" s="363"/>
      <c r="AF70" s="11"/>
      <c r="AG70" s="363"/>
      <c r="AH70" s="11">
        <v>2</v>
      </c>
      <c r="AI70" s="363">
        <v>213.6</v>
      </c>
      <c r="AJ70" s="299"/>
      <c r="AK70" s="299"/>
      <c r="AL70" s="379">
        <f t="shared" si="6"/>
        <v>10</v>
      </c>
      <c r="AM70" s="381">
        <f t="shared" si="7"/>
        <v>3617.2</v>
      </c>
    </row>
    <row r="71" spans="1:39" ht="21">
      <c r="A71" s="10" t="s">
        <v>180</v>
      </c>
      <c r="B71" s="137"/>
      <c r="C71" s="299">
        <v>1268.1</v>
      </c>
      <c r="D71" s="11"/>
      <c r="E71" s="299"/>
      <c r="F71" s="11"/>
      <c r="G71" s="299"/>
      <c r="H71" s="11"/>
      <c r="I71" s="363"/>
      <c r="J71" s="11"/>
      <c r="K71" s="363"/>
      <c r="L71" s="11"/>
      <c r="M71" s="363"/>
      <c r="N71" s="11"/>
      <c r="O71" s="363"/>
      <c r="P71" s="11"/>
      <c r="Q71" s="363"/>
      <c r="R71" s="11"/>
      <c r="S71" s="363"/>
      <c r="T71" s="11"/>
      <c r="U71" s="363"/>
      <c r="V71" s="11"/>
      <c r="W71" s="363"/>
      <c r="X71" s="11">
        <v>2</v>
      </c>
      <c r="Y71" s="363">
        <v>193.8</v>
      </c>
      <c r="Z71" s="11"/>
      <c r="AA71" s="363"/>
      <c r="AB71" s="11"/>
      <c r="AC71" s="363"/>
      <c r="AD71" s="11"/>
      <c r="AE71" s="363"/>
      <c r="AF71" s="11">
        <v>2</v>
      </c>
      <c r="AG71" s="363">
        <v>228.2</v>
      </c>
      <c r="AH71" s="11"/>
      <c r="AI71" s="363"/>
      <c r="AJ71" s="299"/>
      <c r="AK71" s="299"/>
      <c r="AL71" s="379">
        <f t="shared" si="6"/>
        <v>4</v>
      </c>
      <c r="AM71" s="381">
        <f t="shared" si="7"/>
        <v>1690.1</v>
      </c>
    </row>
    <row r="72" spans="1:39" ht="21">
      <c r="A72" s="10" t="s">
        <v>527</v>
      </c>
      <c r="B72" s="137">
        <v>4</v>
      </c>
      <c r="C72" s="299">
        <v>1552.8000000000002</v>
      </c>
      <c r="D72" s="11"/>
      <c r="E72" s="299"/>
      <c r="F72" s="11"/>
      <c r="G72" s="299"/>
      <c r="H72" s="11"/>
      <c r="I72" s="363"/>
      <c r="J72" s="11">
        <v>1</v>
      </c>
      <c r="K72" s="363">
        <v>108.7</v>
      </c>
      <c r="L72" s="11"/>
      <c r="M72" s="363"/>
      <c r="N72" s="11"/>
      <c r="O72" s="363"/>
      <c r="P72" s="11"/>
      <c r="Q72" s="363"/>
      <c r="R72" s="11"/>
      <c r="S72" s="363"/>
      <c r="T72" s="11"/>
      <c r="U72" s="363"/>
      <c r="V72" s="11">
        <v>1</v>
      </c>
      <c r="W72" s="363">
        <v>113.8</v>
      </c>
      <c r="X72" s="11"/>
      <c r="Y72" s="363"/>
      <c r="Z72" s="11">
        <v>1</v>
      </c>
      <c r="AA72" s="363">
        <v>103.4</v>
      </c>
      <c r="AB72" s="11"/>
      <c r="AC72" s="363"/>
      <c r="AD72" s="11">
        <v>1</v>
      </c>
      <c r="AE72" s="363">
        <v>164.7</v>
      </c>
      <c r="AF72" s="11"/>
      <c r="AG72" s="363"/>
      <c r="AH72" s="11"/>
      <c r="AI72" s="363"/>
      <c r="AJ72" s="299"/>
      <c r="AK72" s="299"/>
      <c r="AL72" s="379">
        <f t="shared" si="6"/>
        <v>8</v>
      </c>
      <c r="AM72" s="381">
        <f t="shared" si="7"/>
        <v>2043.4000000000003</v>
      </c>
    </row>
    <row r="73" spans="1:39" ht="21">
      <c r="A73" s="10" t="s">
        <v>45</v>
      </c>
      <c r="B73" s="137">
        <v>2</v>
      </c>
      <c r="C73" s="299">
        <v>826</v>
      </c>
      <c r="D73" s="11"/>
      <c r="E73" s="299"/>
      <c r="F73" s="11"/>
      <c r="G73" s="299"/>
      <c r="H73" s="11"/>
      <c r="I73" s="363"/>
      <c r="J73" s="11"/>
      <c r="K73" s="363">
        <v>276</v>
      </c>
      <c r="L73" s="11"/>
      <c r="M73" s="363"/>
      <c r="N73" s="11"/>
      <c r="O73" s="363"/>
      <c r="P73" s="11"/>
      <c r="Q73" s="363"/>
      <c r="R73" s="11"/>
      <c r="S73" s="363"/>
      <c r="T73" s="11"/>
      <c r="U73" s="363"/>
      <c r="V73" s="11"/>
      <c r="W73" s="363">
        <v>254.4</v>
      </c>
      <c r="X73" s="11">
        <v>2</v>
      </c>
      <c r="Y73" s="363">
        <v>263.2</v>
      </c>
      <c r="Z73" s="11"/>
      <c r="AA73" s="363"/>
      <c r="AB73" s="11"/>
      <c r="AC73" s="363"/>
      <c r="AD73" s="11"/>
      <c r="AE73" s="363"/>
      <c r="AF73" s="11"/>
      <c r="AG73" s="363"/>
      <c r="AH73" s="11"/>
      <c r="AI73" s="363"/>
      <c r="AJ73" s="299"/>
      <c r="AK73" s="299"/>
      <c r="AL73" s="379">
        <f t="shared" si="6"/>
        <v>4</v>
      </c>
      <c r="AM73" s="381">
        <f t="shared" si="7"/>
        <v>1619.6000000000001</v>
      </c>
    </row>
    <row r="74" spans="1:39" ht="21">
      <c r="A74" s="10" t="s">
        <v>142</v>
      </c>
      <c r="B74" s="137">
        <v>1</v>
      </c>
      <c r="C74" s="333">
        <v>546.1</v>
      </c>
      <c r="D74" s="12"/>
      <c r="E74" s="333"/>
      <c r="F74" s="137"/>
      <c r="G74" s="333"/>
      <c r="H74" s="15"/>
      <c r="I74" s="835"/>
      <c r="J74" s="12"/>
      <c r="K74" s="368"/>
      <c r="L74" s="12"/>
      <c r="M74" s="368"/>
      <c r="N74" s="12"/>
      <c r="O74" s="368"/>
      <c r="P74" s="12"/>
      <c r="Q74" s="368"/>
      <c r="R74" s="12"/>
      <c r="S74" s="368"/>
      <c r="T74" s="12"/>
      <c r="U74" s="368"/>
      <c r="V74" s="11"/>
      <c r="W74" s="363">
        <v>174.1</v>
      </c>
      <c r="X74" s="11"/>
      <c r="Y74" s="363"/>
      <c r="Z74" s="11"/>
      <c r="AA74" s="363"/>
      <c r="AB74" s="11"/>
      <c r="AC74" s="363"/>
      <c r="AD74" s="11"/>
      <c r="AE74" s="363"/>
      <c r="AF74" s="11"/>
      <c r="AG74" s="363"/>
      <c r="AH74" s="11"/>
      <c r="AI74" s="363"/>
      <c r="AJ74" s="299"/>
      <c r="AK74" s="299"/>
      <c r="AL74" s="379">
        <f t="shared" si="6"/>
        <v>1</v>
      </c>
      <c r="AM74" s="381">
        <f t="shared" si="7"/>
        <v>720.2</v>
      </c>
    </row>
    <row r="75" spans="1:39" ht="21">
      <c r="A75" s="10" t="s">
        <v>46</v>
      </c>
      <c r="B75" s="137"/>
      <c r="C75" s="333">
        <v>681.7</v>
      </c>
      <c r="D75" s="12"/>
      <c r="E75" s="333"/>
      <c r="F75" s="137"/>
      <c r="G75" s="333"/>
      <c r="H75" s="15"/>
      <c r="I75" s="835"/>
      <c r="J75" s="12"/>
      <c r="K75" s="368">
        <v>536.5</v>
      </c>
      <c r="L75" s="12">
        <v>2</v>
      </c>
      <c r="M75" s="368">
        <v>293.6</v>
      </c>
      <c r="N75" s="12"/>
      <c r="O75" s="368"/>
      <c r="P75" s="12"/>
      <c r="Q75" s="368"/>
      <c r="R75" s="12"/>
      <c r="S75" s="368"/>
      <c r="T75" s="12"/>
      <c r="U75" s="368"/>
      <c r="V75" s="11"/>
      <c r="W75" s="363">
        <v>902.5</v>
      </c>
      <c r="X75" s="11">
        <v>4</v>
      </c>
      <c r="Y75" s="363">
        <v>386.5</v>
      </c>
      <c r="Z75" s="11"/>
      <c r="AA75" s="363"/>
      <c r="AB75" s="11"/>
      <c r="AC75" s="363"/>
      <c r="AD75" s="11"/>
      <c r="AE75" s="363">
        <v>528.7</v>
      </c>
      <c r="AF75" s="11">
        <v>2</v>
      </c>
      <c r="AG75" s="363">
        <v>252</v>
      </c>
      <c r="AH75" s="11"/>
      <c r="AI75" s="363"/>
      <c r="AJ75" s="299">
        <v>1</v>
      </c>
      <c r="AK75" s="299">
        <v>89.6</v>
      </c>
      <c r="AL75" s="379">
        <f t="shared" si="6"/>
        <v>9</v>
      </c>
      <c r="AM75" s="381">
        <f t="shared" si="7"/>
        <v>3671.1</v>
      </c>
    </row>
    <row r="76" spans="1:39" ht="21">
      <c r="A76" s="10" t="s">
        <v>353</v>
      </c>
      <c r="B76" s="137">
        <v>11</v>
      </c>
      <c r="C76" s="333">
        <v>2676.5</v>
      </c>
      <c r="D76" s="12"/>
      <c r="E76" s="333"/>
      <c r="F76" s="137"/>
      <c r="G76" s="333"/>
      <c r="H76" s="15"/>
      <c r="I76" s="835"/>
      <c r="J76" s="12"/>
      <c r="K76" s="368"/>
      <c r="L76" s="12"/>
      <c r="M76" s="368"/>
      <c r="N76" s="12"/>
      <c r="O76" s="368"/>
      <c r="P76" s="12"/>
      <c r="Q76" s="368"/>
      <c r="R76" s="12"/>
      <c r="S76" s="368"/>
      <c r="T76" s="12"/>
      <c r="U76" s="368"/>
      <c r="V76" s="11">
        <v>1</v>
      </c>
      <c r="W76" s="363">
        <v>181.3</v>
      </c>
      <c r="X76" s="11">
        <v>2</v>
      </c>
      <c r="Y76" s="363">
        <v>401.4</v>
      </c>
      <c r="Z76" s="11">
        <v>4</v>
      </c>
      <c r="AA76" s="363">
        <v>813.8</v>
      </c>
      <c r="AB76" s="11"/>
      <c r="AC76" s="363"/>
      <c r="AD76" s="11"/>
      <c r="AE76" s="363"/>
      <c r="AF76" s="11">
        <v>2</v>
      </c>
      <c r="AG76" s="363">
        <v>328.8</v>
      </c>
      <c r="AH76" s="11"/>
      <c r="AI76" s="363"/>
      <c r="AJ76" s="299"/>
      <c r="AK76" s="299"/>
      <c r="AL76" s="379">
        <f t="shared" si="6"/>
        <v>20</v>
      </c>
      <c r="AM76" s="381">
        <f t="shared" si="7"/>
        <v>4401.8</v>
      </c>
    </row>
    <row r="77" spans="1:39" ht="21">
      <c r="A77" s="10" t="s">
        <v>430</v>
      </c>
      <c r="B77" s="137">
        <v>1</v>
      </c>
      <c r="C77" s="333">
        <v>120.3</v>
      </c>
      <c r="D77" s="12"/>
      <c r="E77" s="333"/>
      <c r="F77" s="137"/>
      <c r="G77" s="333"/>
      <c r="H77" s="15"/>
      <c r="I77" s="835"/>
      <c r="J77" s="12"/>
      <c r="K77" s="368"/>
      <c r="L77" s="12"/>
      <c r="M77" s="368"/>
      <c r="N77" s="12"/>
      <c r="O77" s="368"/>
      <c r="P77" s="12"/>
      <c r="Q77" s="368"/>
      <c r="R77" s="12"/>
      <c r="S77" s="368"/>
      <c r="T77" s="12"/>
      <c r="U77" s="368"/>
      <c r="V77" s="11"/>
      <c r="W77" s="363"/>
      <c r="X77" s="11"/>
      <c r="Y77" s="363"/>
      <c r="Z77" s="11"/>
      <c r="AA77" s="363"/>
      <c r="AB77" s="11"/>
      <c r="AC77" s="363"/>
      <c r="AD77" s="11"/>
      <c r="AE77" s="363"/>
      <c r="AF77" s="11"/>
      <c r="AG77" s="363"/>
      <c r="AH77" s="11"/>
      <c r="AI77" s="363"/>
      <c r="AJ77" s="299"/>
      <c r="AK77" s="299"/>
      <c r="AL77" s="379">
        <f t="shared" si="6"/>
        <v>1</v>
      </c>
      <c r="AM77" s="381">
        <f t="shared" si="7"/>
        <v>120.3</v>
      </c>
    </row>
    <row r="78" spans="1:39" ht="21">
      <c r="A78" s="10" t="s">
        <v>47</v>
      </c>
      <c r="B78" s="137"/>
      <c r="C78" s="333">
        <v>215.4</v>
      </c>
      <c r="D78" s="12"/>
      <c r="E78" s="333"/>
      <c r="F78" s="137"/>
      <c r="G78" s="333"/>
      <c r="H78" s="15"/>
      <c r="I78" s="835"/>
      <c r="J78" s="12"/>
      <c r="K78" s="368">
        <v>266.4</v>
      </c>
      <c r="L78" s="12"/>
      <c r="M78" s="368">
        <v>217.5</v>
      </c>
      <c r="N78" s="12"/>
      <c r="O78" s="368"/>
      <c r="P78" s="12"/>
      <c r="Q78" s="368"/>
      <c r="R78" s="12"/>
      <c r="S78" s="368"/>
      <c r="T78" s="12"/>
      <c r="U78" s="368"/>
      <c r="V78" s="11"/>
      <c r="W78" s="363">
        <v>245.7</v>
      </c>
      <c r="X78" s="11">
        <v>3</v>
      </c>
      <c r="Y78" s="363">
        <v>611</v>
      </c>
      <c r="Z78" s="11"/>
      <c r="AA78" s="363">
        <v>676.2</v>
      </c>
      <c r="AB78" s="11"/>
      <c r="AC78" s="363">
        <v>251.9</v>
      </c>
      <c r="AD78" s="11"/>
      <c r="AE78" s="363"/>
      <c r="AF78" s="11"/>
      <c r="AG78" s="363">
        <v>375.9</v>
      </c>
      <c r="AH78" s="11">
        <v>3</v>
      </c>
      <c r="AI78" s="363">
        <v>286.3</v>
      </c>
      <c r="AJ78" s="299"/>
      <c r="AK78" s="299">
        <v>86.4</v>
      </c>
      <c r="AL78" s="379">
        <f t="shared" si="6"/>
        <v>6</v>
      </c>
      <c r="AM78" s="381">
        <f t="shared" si="7"/>
        <v>3232.7000000000003</v>
      </c>
    </row>
    <row r="79" spans="1:39" ht="21">
      <c r="A79" s="10" t="s">
        <v>48</v>
      </c>
      <c r="B79" s="137">
        <v>1</v>
      </c>
      <c r="C79" s="333">
        <v>156.6</v>
      </c>
      <c r="D79" s="12"/>
      <c r="E79" s="333"/>
      <c r="F79" s="137"/>
      <c r="G79" s="333"/>
      <c r="H79" s="15"/>
      <c r="I79" s="835"/>
      <c r="J79" s="12"/>
      <c r="K79" s="368"/>
      <c r="L79" s="12"/>
      <c r="M79" s="368"/>
      <c r="N79" s="12"/>
      <c r="O79" s="368"/>
      <c r="P79" s="12"/>
      <c r="Q79" s="368"/>
      <c r="R79" s="12"/>
      <c r="S79" s="368"/>
      <c r="T79" s="12"/>
      <c r="U79" s="368"/>
      <c r="V79" s="11"/>
      <c r="W79" s="363"/>
      <c r="X79" s="11"/>
      <c r="Y79" s="363"/>
      <c r="Z79" s="11">
        <v>1</v>
      </c>
      <c r="AA79" s="363">
        <v>220.8</v>
      </c>
      <c r="AB79" s="11"/>
      <c r="AC79" s="363"/>
      <c r="AD79" s="11"/>
      <c r="AE79" s="363"/>
      <c r="AF79" s="11"/>
      <c r="AG79" s="363"/>
      <c r="AH79" s="11"/>
      <c r="AI79" s="363"/>
      <c r="AJ79" s="299"/>
      <c r="AK79" s="299"/>
      <c r="AL79" s="379">
        <f t="shared" si="6"/>
        <v>2</v>
      </c>
      <c r="AM79" s="381">
        <f t="shared" si="7"/>
        <v>377.4</v>
      </c>
    </row>
    <row r="80" spans="1:39" ht="21">
      <c r="A80" s="16" t="s">
        <v>358</v>
      </c>
      <c r="B80" s="208">
        <v>1</v>
      </c>
      <c r="C80" s="593">
        <v>137.9</v>
      </c>
      <c r="D80" s="582"/>
      <c r="E80" s="593"/>
      <c r="F80" s="208"/>
      <c r="G80" s="593"/>
      <c r="H80" s="18"/>
      <c r="I80" s="836"/>
      <c r="J80" s="582"/>
      <c r="K80" s="583"/>
      <c r="L80" s="582"/>
      <c r="M80" s="583"/>
      <c r="N80" s="582"/>
      <c r="O80" s="583"/>
      <c r="P80" s="582"/>
      <c r="Q80" s="583"/>
      <c r="R80" s="582"/>
      <c r="S80" s="583"/>
      <c r="T80" s="582"/>
      <c r="U80" s="583"/>
      <c r="V80" s="17"/>
      <c r="W80" s="364"/>
      <c r="X80" s="17">
        <v>1</v>
      </c>
      <c r="Y80" s="364">
        <v>165</v>
      </c>
      <c r="Z80" s="17">
        <v>1</v>
      </c>
      <c r="AA80" s="364">
        <v>148.9</v>
      </c>
      <c r="AB80" s="17"/>
      <c r="AC80" s="364"/>
      <c r="AD80" s="17"/>
      <c r="AE80" s="364"/>
      <c r="AF80" s="17"/>
      <c r="AG80" s="364"/>
      <c r="AH80" s="17"/>
      <c r="AI80" s="364"/>
      <c r="AJ80" s="332"/>
      <c r="AK80" s="332"/>
      <c r="AL80" s="380">
        <f>SUM(B80,D80,F80,H80,J80,L80,N80,P80,R80,T80,V80,Z80,X80,AB80,AD80,AF80,AH80,AJ80)</f>
        <v>3</v>
      </c>
      <c r="AM80" s="382">
        <f>SUM(C80,E80,G80,I80,K80,M80,O80,Q80,S80,U80,W80,AA80,Y80,AC80,AE80,AG80,AI80,AK80)</f>
        <v>451.8</v>
      </c>
    </row>
    <row r="81" spans="1:39" ht="21">
      <c r="A81" s="384" t="s">
        <v>128</v>
      </c>
      <c r="B81" s="137"/>
      <c r="C81" s="333"/>
      <c r="D81" s="12"/>
      <c r="E81" s="333"/>
      <c r="F81" s="137"/>
      <c r="G81" s="333"/>
      <c r="H81" s="15"/>
      <c r="I81" s="835"/>
      <c r="J81" s="12"/>
      <c r="K81" s="368"/>
      <c r="L81" s="12"/>
      <c r="M81" s="368"/>
      <c r="N81" s="12"/>
      <c r="O81" s="368"/>
      <c r="P81" s="12"/>
      <c r="Q81" s="368"/>
      <c r="R81" s="12"/>
      <c r="S81" s="368"/>
      <c r="T81" s="12"/>
      <c r="U81" s="368"/>
      <c r="V81" s="11"/>
      <c r="W81" s="363"/>
      <c r="X81" s="11"/>
      <c r="Y81" s="363"/>
      <c r="Z81" s="11"/>
      <c r="AA81" s="363"/>
      <c r="AB81" s="11"/>
      <c r="AC81" s="363"/>
      <c r="AD81" s="11"/>
      <c r="AE81" s="363"/>
      <c r="AF81" s="11"/>
      <c r="AG81" s="363"/>
      <c r="AH81" s="11"/>
      <c r="AI81" s="363"/>
      <c r="AJ81" s="299"/>
      <c r="AK81" s="299"/>
      <c r="AL81" s="985"/>
      <c r="AM81" s="986"/>
    </row>
    <row r="82" spans="1:39" ht="21">
      <c r="A82" s="10" t="s">
        <v>232</v>
      </c>
      <c r="B82" s="137"/>
      <c r="C82" s="333"/>
      <c r="D82" s="12"/>
      <c r="E82" s="333"/>
      <c r="F82" s="137"/>
      <c r="G82" s="333"/>
      <c r="H82" s="15"/>
      <c r="I82" s="835"/>
      <c r="J82" s="12"/>
      <c r="K82" s="368"/>
      <c r="L82" s="12"/>
      <c r="M82" s="368"/>
      <c r="N82" s="12"/>
      <c r="O82" s="368"/>
      <c r="P82" s="12"/>
      <c r="Q82" s="368"/>
      <c r="R82" s="12"/>
      <c r="S82" s="368"/>
      <c r="T82" s="12"/>
      <c r="U82" s="368"/>
      <c r="V82" s="11"/>
      <c r="W82" s="363"/>
      <c r="X82" s="11"/>
      <c r="Y82" s="363"/>
      <c r="Z82" s="11">
        <v>1</v>
      </c>
      <c r="AA82" s="363">
        <v>139.9</v>
      </c>
      <c r="AB82" s="11"/>
      <c r="AC82" s="363"/>
      <c r="AD82" s="11"/>
      <c r="AE82" s="363"/>
      <c r="AF82" s="11"/>
      <c r="AG82" s="363"/>
      <c r="AH82" s="11"/>
      <c r="AI82" s="363"/>
      <c r="AJ82" s="299"/>
      <c r="AK82" s="299"/>
      <c r="AL82" s="379">
        <f aca="true" t="shared" si="8" ref="AL82:AM85">SUM(B82,D82,F82,H82,J82,L82,N82,P82,R82,T82,V82,Z82,X82,AB82,AD82,AF82,AH82,AJ82)</f>
        <v>1</v>
      </c>
      <c r="AM82" s="381">
        <f t="shared" si="8"/>
        <v>139.9</v>
      </c>
    </row>
    <row r="83" spans="1:39" ht="21">
      <c r="A83" s="10" t="s">
        <v>344</v>
      </c>
      <c r="B83" s="137">
        <v>1</v>
      </c>
      <c r="C83" s="333">
        <v>123</v>
      </c>
      <c r="D83" s="12"/>
      <c r="E83" s="333"/>
      <c r="F83" s="137"/>
      <c r="G83" s="333"/>
      <c r="H83" s="15"/>
      <c r="I83" s="835"/>
      <c r="J83" s="12"/>
      <c r="K83" s="368"/>
      <c r="L83" s="12"/>
      <c r="M83" s="368"/>
      <c r="N83" s="12"/>
      <c r="O83" s="368"/>
      <c r="P83" s="12"/>
      <c r="Q83" s="368"/>
      <c r="R83" s="12"/>
      <c r="S83" s="368"/>
      <c r="T83" s="12"/>
      <c r="U83" s="368"/>
      <c r="V83" s="11"/>
      <c r="W83" s="363"/>
      <c r="X83" s="11"/>
      <c r="Y83" s="363"/>
      <c r="Z83" s="11"/>
      <c r="AA83" s="363"/>
      <c r="AB83" s="11"/>
      <c r="AC83" s="363"/>
      <c r="AD83" s="11"/>
      <c r="AE83" s="363"/>
      <c r="AF83" s="11"/>
      <c r="AG83" s="363"/>
      <c r="AH83" s="11"/>
      <c r="AI83" s="363"/>
      <c r="AJ83" s="299"/>
      <c r="AK83" s="299"/>
      <c r="AL83" s="379">
        <f t="shared" si="8"/>
        <v>1</v>
      </c>
      <c r="AM83" s="381">
        <f t="shared" si="8"/>
        <v>123</v>
      </c>
    </row>
    <row r="84" spans="1:39" ht="21">
      <c r="A84" s="10" t="s">
        <v>33</v>
      </c>
      <c r="B84" s="137">
        <v>1</v>
      </c>
      <c r="C84" s="333">
        <v>152.2</v>
      </c>
      <c r="D84" s="12"/>
      <c r="E84" s="333"/>
      <c r="F84" s="137"/>
      <c r="G84" s="333"/>
      <c r="H84" s="15"/>
      <c r="I84" s="835"/>
      <c r="J84" s="12"/>
      <c r="K84" s="368"/>
      <c r="L84" s="12"/>
      <c r="M84" s="368"/>
      <c r="N84" s="12"/>
      <c r="O84" s="368"/>
      <c r="P84" s="12"/>
      <c r="Q84" s="368"/>
      <c r="R84" s="12"/>
      <c r="S84" s="368"/>
      <c r="T84" s="12"/>
      <c r="U84" s="368"/>
      <c r="V84" s="11"/>
      <c r="W84" s="363"/>
      <c r="X84" s="11"/>
      <c r="Y84" s="363"/>
      <c r="Z84" s="11"/>
      <c r="AA84" s="363"/>
      <c r="AB84" s="11"/>
      <c r="AC84" s="363"/>
      <c r="AD84" s="11"/>
      <c r="AE84" s="363"/>
      <c r="AF84" s="11"/>
      <c r="AG84" s="363"/>
      <c r="AH84" s="11"/>
      <c r="AI84" s="363"/>
      <c r="AJ84" s="299"/>
      <c r="AK84" s="299"/>
      <c r="AL84" s="379">
        <f t="shared" si="8"/>
        <v>1</v>
      </c>
      <c r="AM84" s="381">
        <f t="shared" si="8"/>
        <v>152.2</v>
      </c>
    </row>
    <row r="85" spans="1:39" ht="21">
      <c r="A85" s="16" t="s">
        <v>34</v>
      </c>
      <c r="B85" s="137">
        <v>2</v>
      </c>
      <c r="C85" s="333">
        <v>231.8</v>
      </c>
      <c r="D85" s="12"/>
      <c r="E85" s="333"/>
      <c r="F85" s="137"/>
      <c r="G85" s="333"/>
      <c r="H85" s="15"/>
      <c r="I85" s="835"/>
      <c r="J85" s="12"/>
      <c r="K85" s="368"/>
      <c r="L85" s="12"/>
      <c r="M85" s="368"/>
      <c r="N85" s="12"/>
      <c r="O85" s="368"/>
      <c r="P85" s="12"/>
      <c r="Q85" s="368"/>
      <c r="R85" s="12"/>
      <c r="S85" s="368"/>
      <c r="T85" s="12"/>
      <c r="U85" s="368"/>
      <c r="V85" s="11"/>
      <c r="W85" s="363"/>
      <c r="X85" s="11">
        <v>1</v>
      </c>
      <c r="Y85" s="363">
        <v>165</v>
      </c>
      <c r="Z85" s="11"/>
      <c r="AA85" s="363"/>
      <c r="AB85" s="11"/>
      <c r="AC85" s="363"/>
      <c r="AD85" s="11"/>
      <c r="AE85" s="363"/>
      <c r="AF85" s="11"/>
      <c r="AG85" s="363"/>
      <c r="AH85" s="11"/>
      <c r="AI85" s="363"/>
      <c r="AJ85" s="299"/>
      <c r="AK85" s="299"/>
      <c r="AL85" s="380">
        <f t="shared" si="8"/>
        <v>3</v>
      </c>
      <c r="AM85" s="382">
        <f t="shared" si="8"/>
        <v>396.8</v>
      </c>
    </row>
    <row r="86" spans="1:39" ht="21">
      <c r="A86" s="384" t="s">
        <v>129</v>
      </c>
      <c r="B86" s="206"/>
      <c r="C86" s="344"/>
      <c r="D86" s="148"/>
      <c r="E86" s="344"/>
      <c r="F86" s="148"/>
      <c r="G86" s="344"/>
      <c r="H86" s="148"/>
      <c r="I86" s="837"/>
      <c r="J86" s="148"/>
      <c r="K86" s="837"/>
      <c r="L86" s="148"/>
      <c r="M86" s="837"/>
      <c r="N86" s="148"/>
      <c r="O86" s="837"/>
      <c r="P86" s="148"/>
      <c r="Q86" s="837"/>
      <c r="R86" s="148"/>
      <c r="S86" s="837"/>
      <c r="T86" s="148"/>
      <c r="U86" s="837"/>
      <c r="V86" s="148"/>
      <c r="W86" s="837"/>
      <c r="X86" s="148"/>
      <c r="Y86" s="837"/>
      <c r="Z86" s="148"/>
      <c r="AA86" s="837"/>
      <c r="AB86" s="148"/>
      <c r="AC86" s="837"/>
      <c r="AD86" s="148"/>
      <c r="AE86" s="837"/>
      <c r="AF86" s="148"/>
      <c r="AG86" s="837"/>
      <c r="AH86" s="148"/>
      <c r="AI86" s="837"/>
      <c r="AJ86" s="344"/>
      <c r="AK86" s="344"/>
      <c r="AL86" s="985"/>
      <c r="AM86" s="986"/>
    </row>
    <row r="87" spans="1:39" ht="21">
      <c r="A87" s="10" t="s">
        <v>146</v>
      </c>
      <c r="B87" s="137"/>
      <c r="C87" s="333">
        <v>125.2</v>
      </c>
      <c r="D87" s="12"/>
      <c r="E87" s="333"/>
      <c r="F87" s="137">
        <v>1</v>
      </c>
      <c r="G87" s="333">
        <v>202.6</v>
      </c>
      <c r="H87" s="15"/>
      <c r="I87" s="835"/>
      <c r="J87" s="12"/>
      <c r="K87" s="368"/>
      <c r="L87" s="12"/>
      <c r="M87" s="368"/>
      <c r="N87" s="12"/>
      <c r="O87" s="368"/>
      <c r="P87" s="12"/>
      <c r="Q87" s="368"/>
      <c r="R87" s="12"/>
      <c r="S87" s="368"/>
      <c r="T87" s="12"/>
      <c r="U87" s="368"/>
      <c r="V87" s="11">
        <v>1</v>
      </c>
      <c r="W87" s="363">
        <v>227.4</v>
      </c>
      <c r="X87" s="11"/>
      <c r="Y87" s="363"/>
      <c r="Z87" s="11"/>
      <c r="AA87" s="363"/>
      <c r="AB87" s="11"/>
      <c r="AC87" s="363"/>
      <c r="AD87" s="11">
        <v>1</v>
      </c>
      <c r="AE87" s="363">
        <v>267.6</v>
      </c>
      <c r="AF87" s="11"/>
      <c r="AG87" s="363"/>
      <c r="AH87" s="11"/>
      <c r="AI87" s="363"/>
      <c r="AJ87" s="299"/>
      <c r="AK87" s="299"/>
      <c r="AL87" s="379">
        <f>SUM(B87,D87,F87,H87,J87,L87,N87,P87,R87,T87,V87,Z87,X87,AB87,AD87,AF87,AH87,AJ87)</f>
        <v>3</v>
      </c>
      <c r="AM87" s="381">
        <f>SUM(C87,E87,G87,I87,K87,M87,O87,Q87,S87,U87,W87,AA87,Y87,AC87,AE87,AG87,AI87,AK87)</f>
        <v>822.8000000000001</v>
      </c>
    </row>
    <row r="88" spans="1:39" ht="21">
      <c r="A88" s="10" t="s">
        <v>263</v>
      </c>
      <c r="B88" s="137">
        <v>1</v>
      </c>
      <c r="C88" s="333">
        <v>255.7</v>
      </c>
      <c r="D88" s="12"/>
      <c r="E88" s="333"/>
      <c r="F88" s="137"/>
      <c r="G88" s="333"/>
      <c r="H88" s="15"/>
      <c r="I88" s="835"/>
      <c r="J88" s="12"/>
      <c r="K88" s="368"/>
      <c r="L88" s="12"/>
      <c r="M88" s="368"/>
      <c r="N88" s="12"/>
      <c r="O88" s="368"/>
      <c r="P88" s="12"/>
      <c r="Q88" s="368"/>
      <c r="R88" s="12"/>
      <c r="S88" s="368"/>
      <c r="T88" s="12"/>
      <c r="U88" s="368"/>
      <c r="V88" s="11">
        <v>3</v>
      </c>
      <c r="W88" s="363">
        <v>673.8</v>
      </c>
      <c r="X88" s="11"/>
      <c r="Y88" s="363"/>
      <c r="Z88" s="11">
        <v>6</v>
      </c>
      <c r="AA88" s="363">
        <v>1067.8000000000002</v>
      </c>
      <c r="AB88" s="11"/>
      <c r="AC88" s="363"/>
      <c r="AD88" s="11"/>
      <c r="AE88" s="363"/>
      <c r="AF88" s="11"/>
      <c r="AG88" s="363"/>
      <c r="AH88" s="11"/>
      <c r="AI88" s="363"/>
      <c r="AJ88" s="299"/>
      <c r="AK88" s="299"/>
      <c r="AL88" s="379">
        <f aca="true" t="shared" si="9" ref="AL88:AL100">SUM(B88,D88,F88,H88,J88,L88,N88,P88,R88,T88,V88,Z88,X88,AB88,AD88,AF88,AH88,AJ88)</f>
        <v>10</v>
      </c>
      <c r="AM88" s="381">
        <f aca="true" t="shared" si="10" ref="AM88:AM100">SUM(C88,E88,G88,I88,K88,M88,O88,Q88,S88,U88,W88,AA88,Y88,AC88,AE88,AG88,AI88,AK88)</f>
        <v>1997.3000000000002</v>
      </c>
    </row>
    <row r="89" spans="1:39" ht="21">
      <c r="A89" s="10" t="s">
        <v>49</v>
      </c>
      <c r="B89" s="137">
        <v>4</v>
      </c>
      <c r="C89" s="333">
        <v>1166.8</v>
      </c>
      <c r="D89" s="12"/>
      <c r="E89" s="333"/>
      <c r="F89" s="137"/>
      <c r="G89" s="333"/>
      <c r="H89" s="15"/>
      <c r="I89" s="835"/>
      <c r="J89" s="12"/>
      <c r="K89" s="368"/>
      <c r="L89" s="12"/>
      <c r="M89" s="368"/>
      <c r="N89" s="12"/>
      <c r="O89" s="368"/>
      <c r="P89" s="12"/>
      <c r="Q89" s="368"/>
      <c r="R89" s="12"/>
      <c r="S89" s="368"/>
      <c r="T89" s="12"/>
      <c r="U89" s="368"/>
      <c r="V89" s="11">
        <v>4</v>
      </c>
      <c r="W89" s="363">
        <v>1281.2</v>
      </c>
      <c r="X89" s="11"/>
      <c r="Y89" s="363"/>
      <c r="Z89" s="11">
        <v>3</v>
      </c>
      <c r="AA89" s="363">
        <v>909.9</v>
      </c>
      <c r="AB89" s="11"/>
      <c r="AC89" s="363"/>
      <c r="AD89" s="11"/>
      <c r="AE89" s="363"/>
      <c r="AF89" s="11"/>
      <c r="AG89" s="363"/>
      <c r="AH89" s="11"/>
      <c r="AI89" s="363"/>
      <c r="AJ89" s="299"/>
      <c r="AK89" s="299"/>
      <c r="AL89" s="379">
        <f t="shared" si="9"/>
        <v>11</v>
      </c>
      <c r="AM89" s="381">
        <f t="shared" si="10"/>
        <v>3357.9</v>
      </c>
    </row>
    <row r="90" spans="1:39" ht="21">
      <c r="A90" s="10" t="s">
        <v>50</v>
      </c>
      <c r="B90" s="137">
        <v>1</v>
      </c>
      <c r="C90" s="333">
        <v>234.6</v>
      </c>
      <c r="D90" s="12"/>
      <c r="E90" s="333"/>
      <c r="F90" s="137"/>
      <c r="G90" s="333"/>
      <c r="H90" s="15"/>
      <c r="I90" s="835"/>
      <c r="J90" s="12"/>
      <c r="K90" s="368"/>
      <c r="L90" s="12"/>
      <c r="M90" s="368"/>
      <c r="N90" s="12"/>
      <c r="O90" s="368"/>
      <c r="P90" s="12"/>
      <c r="Q90" s="368"/>
      <c r="R90" s="12"/>
      <c r="S90" s="368"/>
      <c r="T90" s="12"/>
      <c r="U90" s="368"/>
      <c r="V90" s="11"/>
      <c r="W90" s="363"/>
      <c r="X90" s="11"/>
      <c r="Y90" s="363"/>
      <c r="Z90" s="11"/>
      <c r="AA90" s="363"/>
      <c r="AB90" s="11"/>
      <c r="AC90" s="363"/>
      <c r="AD90" s="11"/>
      <c r="AE90" s="363"/>
      <c r="AF90" s="11"/>
      <c r="AG90" s="363"/>
      <c r="AH90" s="11"/>
      <c r="AI90" s="363"/>
      <c r="AJ90" s="299"/>
      <c r="AK90" s="299"/>
      <c r="AL90" s="379">
        <f t="shared" si="9"/>
        <v>1</v>
      </c>
      <c r="AM90" s="381">
        <f t="shared" si="10"/>
        <v>234.6</v>
      </c>
    </row>
    <row r="91" spans="1:39" ht="21">
      <c r="A91" s="10" t="s">
        <v>157</v>
      </c>
      <c r="B91" s="137">
        <v>3</v>
      </c>
      <c r="C91" s="333">
        <v>751.2</v>
      </c>
      <c r="D91" s="12"/>
      <c r="E91" s="333"/>
      <c r="F91" s="137">
        <v>1</v>
      </c>
      <c r="G91" s="333">
        <v>279.6</v>
      </c>
      <c r="H91" s="15"/>
      <c r="I91" s="835"/>
      <c r="J91" s="12"/>
      <c r="K91" s="368"/>
      <c r="L91" s="12"/>
      <c r="M91" s="368"/>
      <c r="N91" s="12"/>
      <c r="O91" s="368"/>
      <c r="P91" s="12"/>
      <c r="Q91" s="368"/>
      <c r="R91" s="12"/>
      <c r="S91" s="368"/>
      <c r="T91" s="12"/>
      <c r="U91" s="368"/>
      <c r="V91" s="11"/>
      <c r="W91" s="363"/>
      <c r="X91" s="11"/>
      <c r="Y91" s="363"/>
      <c r="Z91" s="11">
        <v>4</v>
      </c>
      <c r="AA91" s="363">
        <v>1293.4</v>
      </c>
      <c r="AB91" s="11"/>
      <c r="AC91" s="363"/>
      <c r="AD91" s="11">
        <v>1</v>
      </c>
      <c r="AE91" s="363">
        <v>309.1</v>
      </c>
      <c r="AF91" s="11"/>
      <c r="AG91" s="363"/>
      <c r="AH91" s="11"/>
      <c r="AI91" s="363"/>
      <c r="AJ91" s="299"/>
      <c r="AK91" s="299"/>
      <c r="AL91" s="379">
        <f t="shared" si="9"/>
        <v>9</v>
      </c>
      <c r="AM91" s="381">
        <f t="shared" si="10"/>
        <v>2633.3</v>
      </c>
    </row>
    <row r="92" spans="1:39" ht="21">
      <c r="A92" s="10" t="s">
        <v>213</v>
      </c>
      <c r="B92" s="137"/>
      <c r="C92" s="333"/>
      <c r="D92" s="12"/>
      <c r="E92" s="333"/>
      <c r="F92" s="137"/>
      <c r="G92" s="333"/>
      <c r="H92" s="15"/>
      <c r="I92" s="835"/>
      <c r="J92" s="12"/>
      <c r="K92" s="368"/>
      <c r="L92" s="12"/>
      <c r="M92" s="368"/>
      <c r="N92" s="12"/>
      <c r="O92" s="368"/>
      <c r="P92" s="12"/>
      <c r="Q92" s="368"/>
      <c r="R92" s="12"/>
      <c r="S92" s="368"/>
      <c r="T92" s="12"/>
      <c r="U92" s="368"/>
      <c r="V92" s="11"/>
      <c r="W92" s="363"/>
      <c r="X92" s="11"/>
      <c r="Y92" s="363"/>
      <c r="Z92" s="11">
        <v>6</v>
      </c>
      <c r="AA92" s="363">
        <v>34.2</v>
      </c>
      <c r="AB92" s="11"/>
      <c r="AC92" s="363"/>
      <c r="AD92" s="11"/>
      <c r="AE92" s="363"/>
      <c r="AF92" s="11"/>
      <c r="AG92" s="363"/>
      <c r="AH92" s="11"/>
      <c r="AI92" s="363"/>
      <c r="AJ92" s="299"/>
      <c r="AK92" s="299"/>
      <c r="AL92" s="379">
        <f t="shared" si="9"/>
        <v>6</v>
      </c>
      <c r="AM92" s="381">
        <f t="shared" si="10"/>
        <v>34.2</v>
      </c>
    </row>
    <row r="93" spans="1:39" ht="21">
      <c r="A93" s="10" t="s">
        <v>163</v>
      </c>
      <c r="B93" s="137">
        <v>2</v>
      </c>
      <c r="C93" s="333">
        <v>746.1</v>
      </c>
      <c r="D93" s="12"/>
      <c r="E93" s="333"/>
      <c r="F93" s="137"/>
      <c r="G93" s="333"/>
      <c r="H93" s="15"/>
      <c r="I93" s="835"/>
      <c r="J93" s="12"/>
      <c r="K93" s="368"/>
      <c r="L93" s="12"/>
      <c r="M93" s="368"/>
      <c r="N93" s="12"/>
      <c r="O93" s="368"/>
      <c r="P93" s="12"/>
      <c r="Q93" s="368"/>
      <c r="R93" s="12"/>
      <c r="S93" s="368"/>
      <c r="T93" s="12"/>
      <c r="U93" s="368"/>
      <c r="V93" s="11"/>
      <c r="W93" s="363"/>
      <c r="X93" s="11"/>
      <c r="Y93" s="363"/>
      <c r="Z93" s="11">
        <v>3</v>
      </c>
      <c r="AA93" s="363">
        <v>916.5</v>
      </c>
      <c r="AB93" s="11"/>
      <c r="AC93" s="363"/>
      <c r="AD93" s="11"/>
      <c r="AE93" s="363"/>
      <c r="AF93" s="11"/>
      <c r="AG93" s="363"/>
      <c r="AH93" s="11"/>
      <c r="AI93" s="363"/>
      <c r="AJ93" s="299"/>
      <c r="AK93" s="299"/>
      <c r="AL93" s="379">
        <f t="shared" si="9"/>
        <v>5</v>
      </c>
      <c r="AM93" s="381">
        <f t="shared" si="10"/>
        <v>1662.6</v>
      </c>
    </row>
    <row r="94" spans="1:39" ht="21">
      <c r="A94" s="10" t="s">
        <v>445</v>
      </c>
      <c r="B94" s="137"/>
      <c r="C94" s="333"/>
      <c r="D94" s="12"/>
      <c r="E94" s="333"/>
      <c r="F94" s="137"/>
      <c r="G94" s="333"/>
      <c r="H94" s="15"/>
      <c r="I94" s="835"/>
      <c r="J94" s="12"/>
      <c r="K94" s="368"/>
      <c r="L94" s="12"/>
      <c r="M94" s="368"/>
      <c r="N94" s="12"/>
      <c r="O94" s="368"/>
      <c r="P94" s="12"/>
      <c r="Q94" s="368"/>
      <c r="R94" s="12"/>
      <c r="S94" s="368"/>
      <c r="T94" s="12"/>
      <c r="U94" s="368"/>
      <c r="V94" s="11">
        <v>4</v>
      </c>
      <c r="W94" s="363">
        <v>1204.1</v>
      </c>
      <c r="X94" s="11"/>
      <c r="Y94" s="363"/>
      <c r="Z94" s="11">
        <v>1</v>
      </c>
      <c r="AA94" s="363">
        <v>293.1</v>
      </c>
      <c r="AB94" s="11"/>
      <c r="AC94" s="363"/>
      <c r="AD94" s="11"/>
      <c r="AE94" s="363"/>
      <c r="AF94" s="11"/>
      <c r="AG94" s="363"/>
      <c r="AH94" s="11"/>
      <c r="AI94" s="363"/>
      <c r="AJ94" s="299"/>
      <c r="AK94" s="299"/>
      <c r="AL94" s="379">
        <f t="shared" si="9"/>
        <v>5</v>
      </c>
      <c r="AM94" s="381">
        <f t="shared" si="10"/>
        <v>1497.1999999999998</v>
      </c>
    </row>
    <row r="95" spans="1:39" ht="21">
      <c r="A95" s="10" t="s">
        <v>346</v>
      </c>
      <c r="B95" s="137">
        <v>3</v>
      </c>
      <c r="C95" s="333">
        <v>733.8</v>
      </c>
      <c r="D95" s="12"/>
      <c r="E95" s="333"/>
      <c r="F95" s="137"/>
      <c r="G95" s="333"/>
      <c r="H95" s="15"/>
      <c r="I95" s="835"/>
      <c r="J95" s="12"/>
      <c r="K95" s="368"/>
      <c r="L95" s="12"/>
      <c r="M95" s="368"/>
      <c r="N95" s="12"/>
      <c r="O95" s="368"/>
      <c r="P95" s="12"/>
      <c r="Q95" s="368"/>
      <c r="R95" s="12"/>
      <c r="S95" s="368"/>
      <c r="T95" s="12"/>
      <c r="U95" s="368"/>
      <c r="V95" s="11"/>
      <c r="W95" s="363"/>
      <c r="X95" s="11">
        <v>2</v>
      </c>
      <c r="Y95" s="363">
        <v>330</v>
      </c>
      <c r="Z95" s="11"/>
      <c r="AA95" s="363"/>
      <c r="AB95" s="11"/>
      <c r="AC95" s="363"/>
      <c r="AD95" s="11"/>
      <c r="AE95" s="363"/>
      <c r="AF95" s="11"/>
      <c r="AG95" s="363"/>
      <c r="AH95" s="11"/>
      <c r="AI95" s="363"/>
      <c r="AJ95" s="299"/>
      <c r="AK95" s="299"/>
      <c r="AL95" s="379">
        <f t="shared" si="9"/>
        <v>5</v>
      </c>
      <c r="AM95" s="381">
        <f t="shared" si="10"/>
        <v>1063.8</v>
      </c>
    </row>
    <row r="96" spans="1:39" ht="21">
      <c r="A96" s="10" t="s">
        <v>51</v>
      </c>
      <c r="B96" s="137">
        <v>3</v>
      </c>
      <c r="C96" s="333">
        <v>599.8</v>
      </c>
      <c r="D96" s="12"/>
      <c r="E96" s="333"/>
      <c r="F96" s="137">
        <v>1</v>
      </c>
      <c r="G96" s="333">
        <v>229.5</v>
      </c>
      <c r="H96" s="15"/>
      <c r="I96" s="835"/>
      <c r="J96" s="12"/>
      <c r="K96" s="368"/>
      <c r="L96" s="12"/>
      <c r="M96" s="368"/>
      <c r="N96" s="12"/>
      <c r="O96" s="368"/>
      <c r="P96" s="12"/>
      <c r="Q96" s="368"/>
      <c r="R96" s="12"/>
      <c r="S96" s="368"/>
      <c r="T96" s="12"/>
      <c r="U96" s="368"/>
      <c r="V96" s="11"/>
      <c r="W96" s="363"/>
      <c r="X96" s="11"/>
      <c r="Y96" s="363"/>
      <c r="Z96" s="11">
        <v>2</v>
      </c>
      <c r="AA96" s="363">
        <v>504.3</v>
      </c>
      <c r="AB96" s="11"/>
      <c r="AC96" s="363"/>
      <c r="AD96" s="11">
        <v>1</v>
      </c>
      <c r="AE96" s="363">
        <v>245.6</v>
      </c>
      <c r="AF96" s="11"/>
      <c r="AG96" s="363"/>
      <c r="AH96" s="11"/>
      <c r="AI96" s="363"/>
      <c r="AJ96" s="299"/>
      <c r="AK96" s="299"/>
      <c r="AL96" s="379">
        <f t="shared" si="9"/>
        <v>7</v>
      </c>
      <c r="AM96" s="381">
        <f t="shared" si="10"/>
        <v>1579.1999999999998</v>
      </c>
    </row>
    <row r="97" spans="1:39" ht="21">
      <c r="A97" s="10" t="s">
        <v>255</v>
      </c>
      <c r="B97" s="137"/>
      <c r="C97" s="333"/>
      <c r="D97" s="12"/>
      <c r="E97" s="333"/>
      <c r="F97" s="137"/>
      <c r="G97" s="333"/>
      <c r="H97" s="15"/>
      <c r="I97" s="835"/>
      <c r="J97" s="12"/>
      <c r="K97" s="368"/>
      <c r="L97" s="12"/>
      <c r="M97" s="368"/>
      <c r="N97" s="12"/>
      <c r="O97" s="368"/>
      <c r="P97" s="12"/>
      <c r="Q97" s="368"/>
      <c r="R97" s="12"/>
      <c r="S97" s="368"/>
      <c r="T97" s="12"/>
      <c r="U97" s="368"/>
      <c r="V97" s="11">
        <v>1</v>
      </c>
      <c r="W97" s="363">
        <v>232</v>
      </c>
      <c r="X97" s="11"/>
      <c r="Y97" s="363"/>
      <c r="Z97" s="11"/>
      <c r="AA97" s="363"/>
      <c r="AB97" s="11"/>
      <c r="AC97" s="363"/>
      <c r="AD97" s="11"/>
      <c r="AE97" s="363"/>
      <c r="AF97" s="11"/>
      <c r="AG97" s="363"/>
      <c r="AH97" s="11"/>
      <c r="AI97" s="363"/>
      <c r="AJ97" s="299"/>
      <c r="AK97" s="299"/>
      <c r="AL97" s="379">
        <f t="shared" si="9"/>
        <v>1</v>
      </c>
      <c r="AM97" s="381">
        <f t="shared" si="10"/>
        <v>232</v>
      </c>
    </row>
    <row r="98" spans="1:39" ht="21">
      <c r="A98" s="10" t="s">
        <v>164</v>
      </c>
      <c r="B98" s="137">
        <v>1</v>
      </c>
      <c r="C98" s="333">
        <v>265.3</v>
      </c>
      <c r="D98" s="12"/>
      <c r="E98" s="333"/>
      <c r="F98" s="137"/>
      <c r="G98" s="333"/>
      <c r="H98" s="15"/>
      <c r="I98" s="835"/>
      <c r="J98" s="12"/>
      <c r="K98" s="368"/>
      <c r="L98" s="12"/>
      <c r="M98" s="368"/>
      <c r="N98" s="12"/>
      <c r="O98" s="368"/>
      <c r="P98" s="12"/>
      <c r="Q98" s="368"/>
      <c r="R98" s="12"/>
      <c r="S98" s="368"/>
      <c r="T98" s="12"/>
      <c r="U98" s="368"/>
      <c r="V98" s="11"/>
      <c r="W98" s="363"/>
      <c r="X98" s="11">
        <v>2</v>
      </c>
      <c r="Y98" s="363">
        <v>330</v>
      </c>
      <c r="Z98" s="11">
        <v>1</v>
      </c>
      <c r="AA98" s="363">
        <v>234.2</v>
      </c>
      <c r="AB98" s="11"/>
      <c r="AC98" s="363"/>
      <c r="AD98" s="11"/>
      <c r="AE98" s="363"/>
      <c r="AF98" s="11"/>
      <c r="AG98" s="363"/>
      <c r="AH98" s="11"/>
      <c r="AI98" s="363"/>
      <c r="AJ98" s="299"/>
      <c r="AK98" s="299"/>
      <c r="AL98" s="379">
        <f t="shared" si="9"/>
        <v>4</v>
      </c>
      <c r="AM98" s="381">
        <f t="shared" si="10"/>
        <v>829.5</v>
      </c>
    </row>
    <row r="99" spans="1:39" ht="21.75">
      <c r="A99" s="10" t="s">
        <v>52</v>
      </c>
      <c r="B99" s="557">
        <v>3</v>
      </c>
      <c r="C99" s="558">
        <v>677.0999999999999</v>
      </c>
      <c r="D99" s="559"/>
      <c r="E99" s="558"/>
      <c r="F99" s="557"/>
      <c r="G99" s="558"/>
      <c r="H99" s="559"/>
      <c r="I99" s="839"/>
      <c r="J99" s="561"/>
      <c r="K99" s="839"/>
      <c r="L99" s="561"/>
      <c r="M99" s="839"/>
      <c r="N99" s="561"/>
      <c r="O99" s="839"/>
      <c r="P99" s="559"/>
      <c r="Q99" s="839"/>
      <c r="R99" s="71"/>
      <c r="S99" s="368"/>
      <c r="T99" s="71"/>
      <c r="U99" s="368"/>
      <c r="V99" s="15"/>
      <c r="W99" s="368"/>
      <c r="X99" s="71"/>
      <c r="Y99" s="368"/>
      <c r="Z99" s="15">
        <v>1</v>
      </c>
      <c r="AA99" s="368">
        <v>304</v>
      </c>
      <c r="AB99" s="12"/>
      <c r="AC99" s="368"/>
      <c r="AD99" s="560"/>
      <c r="AE99" s="839"/>
      <c r="AF99" s="980"/>
      <c r="AG99" s="841"/>
      <c r="AH99" s="560"/>
      <c r="AI99" s="839"/>
      <c r="AJ99" s="562"/>
      <c r="AK99" s="562"/>
      <c r="AL99" s="379">
        <f t="shared" si="9"/>
        <v>4</v>
      </c>
      <c r="AM99" s="381">
        <f t="shared" si="10"/>
        <v>981.0999999999999</v>
      </c>
    </row>
    <row r="100" spans="1:39" ht="21.75">
      <c r="A100" s="10" t="s">
        <v>659</v>
      </c>
      <c r="B100" s="557"/>
      <c r="C100" s="558"/>
      <c r="D100" s="559"/>
      <c r="E100" s="558"/>
      <c r="F100" s="557"/>
      <c r="G100" s="558"/>
      <c r="H100" s="559"/>
      <c r="I100" s="839"/>
      <c r="J100" s="561"/>
      <c r="K100" s="839"/>
      <c r="L100" s="561"/>
      <c r="M100" s="839"/>
      <c r="N100" s="561"/>
      <c r="O100" s="839"/>
      <c r="P100" s="559"/>
      <c r="Q100" s="839"/>
      <c r="R100" s="71"/>
      <c r="S100" s="368"/>
      <c r="T100" s="71"/>
      <c r="U100" s="368"/>
      <c r="V100" s="15"/>
      <c r="W100" s="368"/>
      <c r="X100" s="71"/>
      <c r="Y100" s="368"/>
      <c r="Z100" s="15">
        <v>5</v>
      </c>
      <c r="AA100" s="368">
        <v>28.5</v>
      </c>
      <c r="AB100" s="12"/>
      <c r="AC100" s="368"/>
      <c r="AD100" s="560"/>
      <c r="AE100" s="839"/>
      <c r="AF100" s="980"/>
      <c r="AG100" s="841"/>
      <c r="AH100" s="560"/>
      <c r="AI100" s="839"/>
      <c r="AJ100" s="562"/>
      <c r="AK100" s="562"/>
      <c r="AL100" s="379">
        <f t="shared" si="9"/>
        <v>5</v>
      </c>
      <c r="AM100" s="381">
        <f t="shared" si="10"/>
        <v>28.5</v>
      </c>
    </row>
    <row r="101" spans="1:39" ht="21.75">
      <c r="A101" s="16" t="s">
        <v>660</v>
      </c>
      <c r="B101" s="742"/>
      <c r="C101" s="743"/>
      <c r="D101" s="744"/>
      <c r="E101" s="743"/>
      <c r="F101" s="742"/>
      <c r="G101" s="743"/>
      <c r="H101" s="744"/>
      <c r="I101" s="838"/>
      <c r="J101" s="745"/>
      <c r="K101" s="838"/>
      <c r="L101" s="745"/>
      <c r="M101" s="838"/>
      <c r="N101" s="745"/>
      <c r="O101" s="838"/>
      <c r="P101" s="744"/>
      <c r="Q101" s="838"/>
      <c r="R101" s="207"/>
      <c r="S101" s="583"/>
      <c r="T101" s="207"/>
      <c r="U101" s="583"/>
      <c r="V101" s="18"/>
      <c r="W101" s="583"/>
      <c r="X101" s="207">
        <v>2</v>
      </c>
      <c r="Y101" s="583">
        <v>330</v>
      </c>
      <c r="Z101" s="18"/>
      <c r="AA101" s="583"/>
      <c r="AB101" s="582"/>
      <c r="AC101" s="583"/>
      <c r="AD101" s="226"/>
      <c r="AE101" s="838"/>
      <c r="AF101" s="749"/>
      <c r="AG101" s="843"/>
      <c r="AH101" s="226"/>
      <c r="AI101" s="838"/>
      <c r="AJ101" s="746"/>
      <c r="AK101" s="746"/>
      <c r="AL101" s="380">
        <f>SUM(B101,D101,F101,H101,J101,L101,N101,P101,R101,T101,V101,Z101,X101,AB101,AD101,AF101,AH101,AJ101)</f>
        <v>2</v>
      </c>
      <c r="AM101" s="382">
        <f>SUM(C101,E101,G101,I101,K101,M101,O101,Q101,S101,U101,W101,AA101,Y101,AC101,AE101,AG101,AI101,AK101)</f>
        <v>330</v>
      </c>
    </row>
    <row r="102" spans="1:39" ht="21">
      <c r="A102" s="384" t="s">
        <v>661</v>
      </c>
      <c r="B102" s="137"/>
      <c r="C102" s="333"/>
      <c r="D102" s="12"/>
      <c r="E102" s="333"/>
      <c r="F102" s="137"/>
      <c r="G102" s="333"/>
      <c r="H102" s="15"/>
      <c r="I102" s="835"/>
      <c r="J102" s="12"/>
      <c r="K102" s="368"/>
      <c r="L102" s="12"/>
      <c r="M102" s="368"/>
      <c r="N102" s="12"/>
      <c r="O102" s="368"/>
      <c r="P102" s="12"/>
      <c r="Q102" s="368"/>
      <c r="R102" s="12"/>
      <c r="S102" s="368"/>
      <c r="T102" s="12"/>
      <c r="U102" s="368"/>
      <c r="V102" s="11"/>
      <c r="W102" s="363"/>
      <c r="X102" s="11"/>
      <c r="Y102" s="363"/>
      <c r="Z102" s="11"/>
      <c r="AA102" s="363"/>
      <c r="AB102" s="11"/>
      <c r="AC102" s="363"/>
      <c r="AD102" s="11"/>
      <c r="AE102" s="363"/>
      <c r="AF102" s="11"/>
      <c r="AG102" s="363"/>
      <c r="AH102" s="11"/>
      <c r="AI102" s="363"/>
      <c r="AJ102" s="299"/>
      <c r="AK102" s="299"/>
      <c r="AL102" s="379"/>
      <c r="AM102" s="381"/>
    </row>
    <row r="103" spans="1:39" ht="21">
      <c r="A103" s="10" t="s">
        <v>596</v>
      </c>
      <c r="B103" s="208"/>
      <c r="C103" s="593"/>
      <c r="D103" s="582"/>
      <c r="E103" s="593"/>
      <c r="F103" s="208"/>
      <c r="G103" s="593"/>
      <c r="H103" s="18"/>
      <c r="I103" s="836"/>
      <c r="J103" s="582"/>
      <c r="K103" s="583"/>
      <c r="L103" s="582"/>
      <c r="M103" s="583"/>
      <c r="N103" s="582"/>
      <c r="O103" s="583"/>
      <c r="P103" s="582"/>
      <c r="Q103" s="583"/>
      <c r="R103" s="582"/>
      <c r="S103" s="583"/>
      <c r="T103" s="582"/>
      <c r="U103" s="583"/>
      <c r="V103" s="17">
        <v>2</v>
      </c>
      <c r="W103" s="364">
        <v>244.6</v>
      </c>
      <c r="X103" s="17"/>
      <c r="Y103" s="364"/>
      <c r="Z103" s="17"/>
      <c r="AA103" s="364"/>
      <c r="AB103" s="17"/>
      <c r="AC103" s="364"/>
      <c r="AD103" s="17"/>
      <c r="AE103" s="364"/>
      <c r="AF103" s="17"/>
      <c r="AG103" s="364"/>
      <c r="AH103" s="17"/>
      <c r="AI103" s="364"/>
      <c r="AJ103" s="332"/>
      <c r="AK103" s="332"/>
      <c r="AL103" s="380">
        <f>SUM(B103,D103,F103,H103,J103,L103,N103,P103,R103,T103,V103,Z103,X103,AB103,AD103,AF103,AH103,AJ103)</f>
        <v>2</v>
      </c>
      <c r="AM103" s="382">
        <f>SUM(C103,E103,G103,I103,K103,M103,O103,Q103,S103,U103,W103,AA103,Y103,AC103,AE103,AG103,AI103,AK103)</f>
        <v>244.6</v>
      </c>
    </row>
    <row r="104" spans="1:39" ht="22.5" thickBot="1">
      <c r="A104" s="384" t="s">
        <v>662</v>
      </c>
      <c r="B104" s="557">
        <v>4</v>
      </c>
      <c r="C104" s="558">
        <v>1205.9</v>
      </c>
      <c r="D104" s="559"/>
      <c r="E104" s="558"/>
      <c r="F104" s="557"/>
      <c r="G104" s="558"/>
      <c r="H104" s="559">
        <v>12</v>
      </c>
      <c r="I104" s="839">
        <v>158.3</v>
      </c>
      <c r="J104" s="561">
        <v>5</v>
      </c>
      <c r="K104" s="839">
        <v>660.5</v>
      </c>
      <c r="L104" s="561"/>
      <c r="M104" s="839">
        <v>353.9</v>
      </c>
      <c r="N104" s="561"/>
      <c r="O104" s="839"/>
      <c r="P104" s="559"/>
      <c r="Q104" s="839"/>
      <c r="R104" s="71"/>
      <c r="S104" s="368"/>
      <c r="T104" s="71">
        <v>2</v>
      </c>
      <c r="U104" s="368">
        <v>175.4</v>
      </c>
      <c r="V104" s="15"/>
      <c r="W104" s="368">
        <v>325.8</v>
      </c>
      <c r="X104" s="71">
        <v>3</v>
      </c>
      <c r="Y104" s="368">
        <f>838.8-164</f>
        <v>674.8</v>
      </c>
      <c r="Z104" s="15">
        <v>2</v>
      </c>
      <c r="AA104" s="368">
        <v>1566.9</v>
      </c>
      <c r="AB104" s="12"/>
      <c r="AC104" s="368">
        <v>457.2</v>
      </c>
      <c r="AD104" s="560"/>
      <c r="AE104" s="841"/>
      <c r="AF104" s="561"/>
      <c r="AG104" s="839"/>
      <c r="AH104" s="560">
        <v>6</v>
      </c>
      <c r="AI104" s="839">
        <f>448.5-145.7</f>
        <v>302.8</v>
      </c>
      <c r="AJ104" s="562"/>
      <c r="AK104" s="562"/>
      <c r="AL104" s="985">
        <f>SUM(B104,D104,F104,H104,J104,L104,N104,P104,R104,T104,V104,Z104,X104,AB104,AD104,AF104,AH104,,AJ104)</f>
        <v>34</v>
      </c>
      <c r="AM104" s="987">
        <f>SUM(C104,E104,G104,I104,K104,M104,O104,Q104,S104,U104,W104,AA104,Y104,AC104,AE104,AG104,AI104,AK104)</f>
        <v>5881.500000000001</v>
      </c>
    </row>
    <row r="105" spans="1:40" ht="21.75" thickBot="1">
      <c r="A105" s="409" t="s">
        <v>53</v>
      </c>
      <c r="B105" s="590">
        <f aca="true" t="shared" si="11" ref="B105:AM105">SUM(B4:B104)</f>
        <v>320</v>
      </c>
      <c r="C105" s="589">
        <f t="shared" si="11"/>
        <v>61061.100000000006</v>
      </c>
      <c r="D105" s="590">
        <f t="shared" si="11"/>
        <v>62</v>
      </c>
      <c r="E105" s="589">
        <f t="shared" si="11"/>
        <v>6516.400000000001</v>
      </c>
      <c r="F105" s="590">
        <f t="shared" si="11"/>
        <v>52</v>
      </c>
      <c r="G105" s="589">
        <f t="shared" si="11"/>
        <v>7376</v>
      </c>
      <c r="H105" s="590">
        <f t="shared" si="11"/>
        <v>166</v>
      </c>
      <c r="I105" s="589">
        <f t="shared" si="11"/>
        <v>110541.4</v>
      </c>
      <c r="J105" s="590">
        <f t="shared" si="11"/>
        <v>39</v>
      </c>
      <c r="K105" s="589">
        <f t="shared" si="11"/>
        <v>5569.4</v>
      </c>
      <c r="L105" s="590">
        <f t="shared" si="11"/>
        <v>70</v>
      </c>
      <c r="M105" s="589">
        <f t="shared" si="11"/>
        <v>5798.299999999999</v>
      </c>
      <c r="N105" s="590">
        <f t="shared" si="11"/>
        <v>35</v>
      </c>
      <c r="O105" s="589">
        <f t="shared" si="11"/>
        <v>8800.400000000001</v>
      </c>
      <c r="P105" s="590">
        <f t="shared" si="11"/>
        <v>1</v>
      </c>
      <c r="Q105" s="589">
        <f t="shared" si="11"/>
        <v>1032.5</v>
      </c>
      <c r="R105" s="590">
        <f t="shared" si="11"/>
        <v>2</v>
      </c>
      <c r="S105" s="589">
        <f t="shared" si="11"/>
        <v>1646.4</v>
      </c>
      <c r="T105" s="590">
        <f t="shared" si="11"/>
        <v>181</v>
      </c>
      <c r="U105" s="589">
        <f t="shared" si="11"/>
        <v>6957.299999999999</v>
      </c>
      <c r="V105" s="590">
        <f t="shared" si="11"/>
        <v>133</v>
      </c>
      <c r="W105" s="589">
        <f t="shared" si="11"/>
        <v>38851.700000000004</v>
      </c>
      <c r="X105" s="590">
        <f t="shared" si="11"/>
        <v>272</v>
      </c>
      <c r="Y105" s="589">
        <f t="shared" si="11"/>
        <v>41595.40000000001</v>
      </c>
      <c r="Z105" s="590">
        <f t="shared" si="11"/>
        <v>500</v>
      </c>
      <c r="AA105" s="589">
        <f t="shared" si="11"/>
        <v>73600.99999999997</v>
      </c>
      <c r="AB105" s="590">
        <f t="shared" si="11"/>
        <v>56</v>
      </c>
      <c r="AC105" s="589">
        <f t="shared" si="11"/>
        <v>16255.5</v>
      </c>
      <c r="AD105" s="590">
        <f t="shared" si="11"/>
        <v>200</v>
      </c>
      <c r="AE105" s="589">
        <f t="shared" si="11"/>
        <v>30664</v>
      </c>
      <c r="AF105" s="590">
        <f t="shared" si="11"/>
        <v>80</v>
      </c>
      <c r="AG105" s="589">
        <f t="shared" si="11"/>
        <v>9674.999999999998</v>
      </c>
      <c r="AH105" s="590">
        <f t="shared" si="11"/>
        <v>114</v>
      </c>
      <c r="AI105" s="589">
        <f t="shared" si="11"/>
        <v>13278.199999999999</v>
      </c>
      <c r="AJ105" s="590">
        <f t="shared" si="11"/>
        <v>6</v>
      </c>
      <c r="AK105" s="589">
        <f t="shared" si="11"/>
        <v>2668</v>
      </c>
      <c r="AL105" s="590">
        <f t="shared" si="11"/>
        <v>2289</v>
      </c>
      <c r="AM105" s="589">
        <f t="shared" si="11"/>
        <v>441888</v>
      </c>
      <c r="AN105" s="975"/>
    </row>
    <row r="106" spans="1:39" ht="12.75">
      <c r="A106" s="61"/>
      <c r="B106" s="376"/>
      <c r="C106" s="847"/>
      <c r="D106" s="376"/>
      <c r="E106" s="847"/>
      <c r="F106" s="376"/>
      <c r="G106" s="374"/>
      <c r="H106" s="377"/>
      <c r="I106" s="378"/>
      <c r="J106" s="377"/>
      <c r="K106" s="378"/>
      <c r="L106" s="377"/>
      <c r="M106" s="378"/>
      <c r="N106" s="377"/>
      <c r="O106" s="378"/>
      <c r="P106" s="377"/>
      <c r="Q106" s="374"/>
      <c r="R106" s="377"/>
      <c r="S106" s="378"/>
      <c r="T106" s="377"/>
      <c r="U106" s="378"/>
      <c r="V106" s="377"/>
      <c r="W106" s="378"/>
      <c r="X106" s="377"/>
      <c r="Y106" s="378"/>
      <c r="Z106" s="376"/>
      <c r="AA106" s="374"/>
      <c r="AB106" s="376"/>
      <c r="AC106" s="374"/>
      <c r="AD106" s="376"/>
      <c r="AE106" s="374"/>
      <c r="AF106" s="376"/>
      <c r="AG106" s="374"/>
      <c r="AH106" s="376"/>
      <c r="AI106" s="374"/>
      <c r="AJ106" s="376"/>
      <c r="AK106" s="374"/>
      <c r="AL106" s="376"/>
      <c r="AM106" s="378"/>
    </row>
    <row r="107" spans="1:39" ht="12.75">
      <c r="A107" s="61"/>
      <c r="B107" s="376"/>
      <c r="C107" s="847"/>
      <c r="D107" s="376"/>
      <c r="E107" s="847"/>
      <c r="F107" s="376"/>
      <c r="G107" s="374"/>
      <c r="H107" s="377"/>
      <c r="I107" s="378"/>
      <c r="J107" s="377"/>
      <c r="K107" s="378"/>
      <c r="L107" s="377"/>
      <c r="M107" s="378"/>
      <c r="N107" s="377"/>
      <c r="O107" s="378"/>
      <c r="P107" s="377"/>
      <c r="Q107" s="374"/>
      <c r="R107" s="377"/>
      <c r="S107" s="378"/>
      <c r="T107" s="377"/>
      <c r="U107" s="378"/>
      <c r="V107" s="377"/>
      <c r="W107" s="378"/>
      <c r="X107" s="377"/>
      <c r="Y107" s="378"/>
      <c r="Z107" s="376"/>
      <c r="AA107" s="374"/>
      <c r="AB107" s="376"/>
      <c r="AC107" s="374"/>
      <c r="AD107" s="376"/>
      <c r="AE107" s="374"/>
      <c r="AF107" s="376"/>
      <c r="AG107" s="374"/>
      <c r="AH107" s="376"/>
      <c r="AI107" s="374"/>
      <c r="AJ107" s="376"/>
      <c r="AK107" s="374"/>
      <c r="AL107" s="376"/>
      <c r="AM107" s="378"/>
    </row>
    <row r="108" ht="12.75">
      <c r="AM108" s="262"/>
    </row>
  </sheetData>
  <sheetProtection/>
  <mergeCells count="20">
    <mergeCell ref="AJ1:AK1"/>
    <mergeCell ref="AL1:AM1"/>
    <mergeCell ref="X1:Y1"/>
    <mergeCell ref="Z1:AA1"/>
    <mergeCell ref="AB1:AC1"/>
    <mergeCell ref="AD1:AE1"/>
    <mergeCell ref="AF1:AG1"/>
    <mergeCell ref="AH1:AI1"/>
    <mergeCell ref="L1:M1"/>
    <mergeCell ref="N1:O1"/>
    <mergeCell ref="P1:Q1"/>
    <mergeCell ref="R1:S1"/>
    <mergeCell ref="T1:U1"/>
    <mergeCell ref="V1:W1"/>
    <mergeCell ref="A1:A2"/>
    <mergeCell ref="B1:C1"/>
    <mergeCell ref="D1:E1"/>
    <mergeCell ref="F1:G1"/>
    <mergeCell ref="H1:I1"/>
    <mergeCell ref="J1:K1"/>
  </mergeCells>
  <printOptions/>
  <pageMargins left="0" right="0" top="0.3937007874015748" bottom="0.1968503937007874" header="0.1968503937007874" footer="0.1968503937007874"/>
  <pageSetup horizontalDpi="600" verticalDpi="600" orientation="landscape" paperSize="9" scale="91" r:id="rId1"/>
  <headerFooter scaleWithDoc="0">
    <oddHeader>&amp;LAppendix II : Total Value of Thai International Cooperation Programme by Sector (TICP FY 2015)</oddHeader>
  </headerFooter>
  <rowBreaks count="4" manualBreakCount="4">
    <brk id="23" max="255" man="1"/>
    <brk id="42" max="255" man="1"/>
    <brk id="64" max="255" man="1"/>
    <brk id="85" max="255" man="1"/>
  </rowBreaks>
  <colBreaks count="1" manualBreakCount="1">
    <brk id="21" max="89" man="1"/>
  </colBreaks>
</worksheet>
</file>

<file path=xl/worksheets/sheet3.xml><?xml version="1.0" encoding="utf-8"?>
<worksheet xmlns="http://schemas.openxmlformats.org/spreadsheetml/2006/main" xmlns:r="http://schemas.openxmlformats.org/officeDocument/2006/relationships">
  <sheetPr>
    <tabColor indexed="45"/>
  </sheetPr>
  <dimension ref="A1:U120"/>
  <sheetViews>
    <sheetView zoomScale="120" zoomScaleNormal="120" zoomScalePageLayoutView="0" workbookViewId="0" topLeftCell="A1">
      <pane xSplit="1" ySplit="5" topLeftCell="B6" activePane="bottomRight" state="frozen"/>
      <selection pane="topLeft" activeCell="L32" sqref="L32"/>
      <selection pane="topRight" activeCell="L32" sqref="L32"/>
      <selection pane="bottomLeft" activeCell="L32" sqref="L32"/>
      <selection pane="bottomRight" activeCell="C84" sqref="C84"/>
    </sheetView>
  </sheetViews>
  <sheetFormatPr defaultColWidth="10.57421875" defaultRowHeight="12.75"/>
  <cols>
    <col min="1" max="1" width="20.7109375" style="40" customWidth="1"/>
    <col min="2" max="2" width="4.00390625" style="35" customWidth="1"/>
    <col min="3" max="3" width="7.8515625" style="335" customWidth="1"/>
    <col min="4" max="4" width="4.00390625" style="36" customWidth="1"/>
    <col min="5" max="5" width="7.8515625" style="335" customWidth="1"/>
    <col min="6" max="6" width="4.57421875" style="335" customWidth="1"/>
    <col min="7" max="7" width="7.57421875" style="335" customWidth="1"/>
    <col min="8" max="8" width="3.7109375" style="35" customWidth="1"/>
    <col min="9" max="9" width="7.7109375" style="335" customWidth="1"/>
    <col min="10" max="10" width="4.421875" style="37" customWidth="1"/>
    <col min="11" max="11" width="7.57421875" style="335" customWidth="1"/>
    <col min="12" max="12" width="4.421875" style="335" bestFit="1" customWidth="1"/>
    <col min="13" max="13" width="6.8515625" style="335" customWidth="1"/>
    <col min="14" max="14" width="7.7109375" style="335" customWidth="1"/>
    <col min="15" max="15" width="7.8515625" style="335" customWidth="1"/>
    <col min="16" max="16" width="4.140625" style="35" customWidth="1"/>
    <col min="17" max="17" width="6.28125" style="36" customWidth="1"/>
    <col min="18" max="18" width="8.00390625" style="76" customWidth="1"/>
    <col min="19" max="19" width="5.421875" style="35" customWidth="1"/>
    <col min="20" max="20" width="5.8515625" style="36" customWidth="1"/>
    <col min="21" max="21" width="8.7109375" style="335" customWidth="1"/>
    <col min="22" max="16384" width="10.57421875" style="40" customWidth="1"/>
  </cols>
  <sheetData>
    <row r="1" spans="1:21" ht="18.75" customHeight="1" thickBot="1">
      <c r="A1" s="34" t="s">
        <v>394</v>
      </c>
      <c r="S1" s="38"/>
      <c r="T1" s="38"/>
      <c r="U1" s="283" t="s">
        <v>0</v>
      </c>
    </row>
    <row r="2" spans="1:21" s="41" customFormat="1" ht="17.25" customHeight="1">
      <c r="A2" s="1202" t="s">
        <v>1</v>
      </c>
      <c r="B2" s="1205" t="s">
        <v>178</v>
      </c>
      <c r="C2" s="1206"/>
      <c r="D2" s="1206"/>
      <c r="E2" s="1207"/>
      <c r="F2" s="1198" t="s">
        <v>54</v>
      </c>
      <c r="G2" s="1199"/>
      <c r="H2" s="1199"/>
      <c r="I2" s="1199"/>
      <c r="J2" s="1199"/>
      <c r="K2" s="1199"/>
      <c r="L2" s="1199"/>
      <c r="M2" s="1199"/>
      <c r="N2" s="1199"/>
      <c r="O2" s="1200"/>
      <c r="P2" s="1193" t="s">
        <v>55</v>
      </c>
      <c r="Q2" s="1194"/>
      <c r="R2" s="1208" t="s">
        <v>56</v>
      </c>
      <c r="S2" s="1210" t="s">
        <v>57</v>
      </c>
      <c r="T2" s="1189" t="s">
        <v>58</v>
      </c>
      <c r="U2" s="1189"/>
    </row>
    <row r="3" spans="1:21" s="41" customFormat="1" ht="18" customHeight="1">
      <c r="A3" s="1203"/>
      <c r="B3" s="1197" t="s">
        <v>106</v>
      </c>
      <c r="C3" s="1191"/>
      <c r="D3" s="1191" t="s">
        <v>59</v>
      </c>
      <c r="E3" s="1192"/>
      <c r="F3" s="1197" t="s">
        <v>106</v>
      </c>
      <c r="G3" s="1191"/>
      <c r="H3" s="1191" t="s">
        <v>59</v>
      </c>
      <c r="I3" s="1192"/>
      <c r="J3" s="1201" t="s">
        <v>60</v>
      </c>
      <c r="K3" s="1201"/>
      <c r="L3" s="1201" t="s">
        <v>543</v>
      </c>
      <c r="M3" s="1201"/>
      <c r="N3" s="419" t="s">
        <v>56</v>
      </c>
      <c r="O3" s="420" t="s">
        <v>57</v>
      </c>
      <c r="P3" s="1195"/>
      <c r="Q3" s="1196"/>
      <c r="R3" s="1209"/>
      <c r="S3" s="1211"/>
      <c r="T3" s="1190"/>
      <c r="U3" s="1190"/>
    </row>
    <row r="4" spans="1:21" s="43" customFormat="1" ht="15.75" customHeight="1" thickBot="1">
      <c r="A4" s="1204"/>
      <c r="B4" s="421" t="s">
        <v>10</v>
      </c>
      <c r="C4" s="422" t="s">
        <v>9</v>
      </c>
      <c r="D4" s="423" t="s">
        <v>10</v>
      </c>
      <c r="E4" s="424" t="s">
        <v>9</v>
      </c>
      <c r="F4" s="421" t="s">
        <v>10</v>
      </c>
      <c r="G4" s="422" t="s">
        <v>9</v>
      </c>
      <c r="H4" s="423" t="s">
        <v>10</v>
      </c>
      <c r="I4" s="424" t="s">
        <v>9</v>
      </c>
      <c r="J4" s="423" t="s">
        <v>10</v>
      </c>
      <c r="K4" s="422" t="s">
        <v>9</v>
      </c>
      <c r="L4" s="423" t="s">
        <v>10</v>
      </c>
      <c r="M4" s="422" t="s">
        <v>9</v>
      </c>
      <c r="N4" s="422" t="s">
        <v>9</v>
      </c>
      <c r="O4" s="424" t="s">
        <v>9</v>
      </c>
      <c r="P4" s="421" t="s">
        <v>10</v>
      </c>
      <c r="Q4" s="425" t="s">
        <v>9</v>
      </c>
      <c r="R4" s="426" t="s">
        <v>9</v>
      </c>
      <c r="S4" s="427" t="s">
        <v>9</v>
      </c>
      <c r="T4" s="423" t="s">
        <v>8</v>
      </c>
      <c r="U4" s="422" t="s">
        <v>9</v>
      </c>
    </row>
    <row r="5" spans="1:21" ht="18" customHeight="1">
      <c r="A5" s="428" t="s">
        <v>61</v>
      </c>
      <c r="B5" s="429"/>
      <c r="C5" s="430"/>
      <c r="D5" s="431"/>
      <c r="E5" s="432"/>
      <c r="F5" s="429"/>
      <c r="G5" s="430"/>
      <c r="H5" s="431"/>
      <c r="I5" s="432"/>
      <c r="J5" s="434"/>
      <c r="K5" s="433"/>
      <c r="L5" s="433"/>
      <c r="M5" s="433"/>
      <c r="N5" s="433"/>
      <c r="O5" s="435"/>
      <c r="P5" s="429"/>
      <c r="Q5" s="431"/>
      <c r="R5" s="436"/>
      <c r="S5" s="437"/>
      <c r="T5" s="438"/>
      <c r="U5" s="439"/>
    </row>
    <row r="6" spans="1:21" ht="17.25" customHeight="1">
      <c r="A6" s="44" t="s">
        <v>11</v>
      </c>
      <c r="B6" s="340">
        <v>95</v>
      </c>
      <c r="C6" s="348">
        <v>8560.2</v>
      </c>
      <c r="D6" s="47">
        <v>2</v>
      </c>
      <c r="E6" s="584">
        <v>4188.5</v>
      </c>
      <c r="F6" s="340">
        <f>ApV!D24</f>
        <v>170</v>
      </c>
      <c r="G6" s="348">
        <f>ApV!E24</f>
        <v>7331.4</v>
      </c>
      <c r="H6" s="47">
        <f>ApV!F24</f>
        <v>0</v>
      </c>
      <c r="I6" s="348">
        <f>ApV!G24</f>
        <v>1257.3000000000002</v>
      </c>
      <c r="J6" s="47">
        <f>ApV!H24</f>
        <v>34</v>
      </c>
      <c r="K6" s="348">
        <f>ApV!I24</f>
        <v>4239.1</v>
      </c>
      <c r="L6" s="47">
        <f>ApV!J24</f>
        <v>0</v>
      </c>
      <c r="M6" s="47">
        <f>ApV!K24</f>
        <v>0</v>
      </c>
      <c r="N6" s="348">
        <f>ApV!L24</f>
        <v>481.59999999999997</v>
      </c>
      <c r="O6" s="354">
        <f>ApV!M24</f>
        <v>60400</v>
      </c>
      <c r="P6" s="340"/>
      <c r="Q6" s="348"/>
      <c r="R6" s="348"/>
      <c r="S6" s="354"/>
      <c r="T6" s="48">
        <f>SUM(B6,H6,D6,F6)</f>
        <v>267</v>
      </c>
      <c r="U6" s="585">
        <f>SUM(C6,E6,G6,I6,K6,N6,O6,M6,Q6,R6,S6)</f>
        <v>86458.1</v>
      </c>
    </row>
    <row r="7" spans="1:21" ht="17.25" customHeight="1">
      <c r="A7" s="44" t="s">
        <v>12</v>
      </c>
      <c r="B7" s="340">
        <v>59</v>
      </c>
      <c r="C7" s="587">
        <v>3234</v>
      </c>
      <c r="D7" s="47">
        <v>21</v>
      </c>
      <c r="E7" s="584">
        <v>26678.6</v>
      </c>
      <c r="F7" s="340">
        <f>ApV!D72</f>
        <v>454</v>
      </c>
      <c r="G7" s="348">
        <f>ApV!E72</f>
        <v>36831.200000000004</v>
      </c>
      <c r="H7" s="47">
        <f>ApV!F72</f>
        <v>23</v>
      </c>
      <c r="I7" s="348">
        <f>ApV!G72</f>
        <v>12734.092799999999</v>
      </c>
      <c r="J7" s="47">
        <f>ApV!H72</f>
        <v>77</v>
      </c>
      <c r="K7" s="348">
        <f>ApV!I72</f>
        <v>5953.687999999999</v>
      </c>
      <c r="L7" s="47">
        <f>ApV!J72</f>
        <v>0</v>
      </c>
      <c r="M7" s="47">
        <f>ApV!K72</f>
        <v>0</v>
      </c>
      <c r="N7" s="348">
        <f>ApV!L72</f>
        <v>47078.29025</v>
      </c>
      <c r="O7" s="354">
        <f>ApV!M72</f>
        <v>0</v>
      </c>
      <c r="P7" s="340"/>
      <c r="Q7" s="348"/>
      <c r="R7" s="348"/>
      <c r="S7" s="354"/>
      <c r="T7" s="48">
        <f>SUM(B7,H7,D7,F7)</f>
        <v>557</v>
      </c>
      <c r="U7" s="585">
        <f>SUM(C7,E7,G7,I7,K7,N7,O7,M7,Q7,R7,S7)</f>
        <v>132509.87105</v>
      </c>
    </row>
    <row r="8" spans="1:21" ht="17.25" customHeight="1">
      <c r="A8" s="44" t="s">
        <v>13</v>
      </c>
      <c r="B8" s="340">
        <v>95</v>
      </c>
      <c r="C8" s="587">
        <v>4171.1</v>
      </c>
      <c r="D8" s="47">
        <v>18</v>
      </c>
      <c r="E8" s="584">
        <v>9739</v>
      </c>
      <c r="F8" s="340">
        <f>ApV!D93</f>
        <v>117</v>
      </c>
      <c r="G8" s="348">
        <f>ApV!E93</f>
        <v>6270.8</v>
      </c>
      <c r="H8" s="47">
        <f>ApV!F93</f>
        <v>10</v>
      </c>
      <c r="I8" s="348">
        <f>ApV!G93</f>
        <v>4307</v>
      </c>
      <c r="J8" s="47">
        <f>ApV!H93</f>
        <v>35</v>
      </c>
      <c r="K8" s="348">
        <f>ApV!I93</f>
        <v>2613.2999999999997</v>
      </c>
      <c r="L8" s="47">
        <f>ApV!J93</f>
        <v>1</v>
      </c>
      <c r="M8" s="348">
        <f>ApV!K93</f>
        <v>15.7</v>
      </c>
      <c r="N8" s="348">
        <f>ApV!L93</f>
        <v>2608.5</v>
      </c>
      <c r="O8" s="354">
        <f>ApV!M93</f>
        <v>191.9</v>
      </c>
      <c r="P8" s="340"/>
      <c r="Q8" s="348"/>
      <c r="R8" s="348">
        <v>2088.4</v>
      </c>
      <c r="S8" s="354"/>
      <c r="T8" s="48">
        <f>SUM(B8,H8,D8,F8)</f>
        <v>240</v>
      </c>
      <c r="U8" s="585">
        <f>SUM(C8,E8,G8,I8,K8,N8,O8,M8,Q8,R8,S8)</f>
        <v>32005.700000000004</v>
      </c>
    </row>
    <row r="9" spans="1:21" s="224" customFormat="1" ht="17.25" customHeight="1">
      <c r="A9" s="46" t="s">
        <v>14</v>
      </c>
      <c r="B9" s="341">
        <v>55</v>
      </c>
      <c r="C9" s="588">
        <v>3567.6</v>
      </c>
      <c r="D9" s="734">
        <v>1</v>
      </c>
      <c r="E9" s="343">
        <v>889.6</v>
      </c>
      <c r="F9" s="340">
        <f>ApV!D116</f>
        <v>7</v>
      </c>
      <c r="G9" s="348">
        <f>ApV!E116</f>
        <v>295.3</v>
      </c>
      <c r="H9" s="47">
        <f>ApV!F116</f>
        <v>1</v>
      </c>
      <c r="I9" s="348">
        <f>ApV!G116</f>
        <v>1566.3</v>
      </c>
      <c r="J9" s="47">
        <f>ApV!H116</f>
        <v>5</v>
      </c>
      <c r="K9" s="348">
        <f>ApV!I116</f>
        <v>124.1</v>
      </c>
      <c r="L9" s="47">
        <f>ApV!J116</f>
        <v>9</v>
      </c>
      <c r="M9" s="47">
        <f>ApV!K116</f>
        <v>2463.9</v>
      </c>
      <c r="N9" s="47">
        <f>ApV!L116</f>
        <v>0</v>
      </c>
      <c r="O9" s="355">
        <f>ApV!M116</f>
        <v>0</v>
      </c>
      <c r="P9" s="341"/>
      <c r="Q9" s="349"/>
      <c r="R9" s="349"/>
      <c r="S9" s="577"/>
      <c r="T9" s="578">
        <f>SUM(B9,H9,D9,F9)</f>
        <v>64</v>
      </c>
      <c r="U9" s="585">
        <f>SUM(C9,E9,G9,I9,K9,N9,O9,M9,Q9,R9,S9)</f>
        <v>8906.800000000001</v>
      </c>
    </row>
    <row r="10" spans="1:21" ht="18" customHeight="1">
      <c r="A10" s="428" t="s">
        <v>15</v>
      </c>
      <c r="B10" s="571"/>
      <c r="C10" s="386"/>
      <c r="D10" s="573"/>
      <c r="E10" s="574"/>
      <c r="F10" s="571"/>
      <c r="G10" s="572"/>
      <c r="H10" s="573"/>
      <c r="I10" s="572"/>
      <c r="J10" s="573"/>
      <c r="K10" s="572"/>
      <c r="L10" s="572"/>
      <c r="M10" s="572"/>
      <c r="N10" s="572"/>
      <c r="O10" s="574"/>
      <c r="P10" s="571"/>
      <c r="Q10" s="573"/>
      <c r="R10" s="575"/>
      <c r="S10" s="576"/>
      <c r="T10" s="440"/>
      <c r="U10" s="386"/>
    </row>
    <row r="11" spans="1:21" s="224" customFormat="1" ht="17.25" customHeight="1">
      <c r="A11" s="44" t="s">
        <v>16</v>
      </c>
      <c r="B11" s="340"/>
      <c r="C11" s="587"/>
      <c r="D11" s="47">
        <v>1</v>
      </c>
      <c r="E11" s="342">
        <v>112.1</v>
      </c>
      <c r="F11" s="340">
        <f>ApV!D30</f>
        <v>18</v>
      </c>
      <c r="G11" s="348">
        <f>ApV!E30</f>
        <v>507.8</v>
      </c>
      <c r="H11" s="47">
        <f>ApV!F30</f>
        <v>0</v>
      </c>
      <c r="I11" s="47">
        <f>ApV!G30</f>
        <v>0</v>
      </c>
      <c r="J11" s="47">
        <f>ApV!H30</f>
        <v>5</v>
      </c>
      <c r="K11" s="348">
        <f>ApV!I30</f>
        <v>369.9</v>
      </c>
      <c r="L11" s="47">
        <f>ApV!J30</f>
        <v>0</v>
      </c>
      <c r="M11" s="47">
        <f>ApV!K30</f>
        <v>0</v>
      </c>
      <c r="N11" s="47">
        <f>ApV!L30</f>
        <v>0</v>
      </c>
      <c r="O11" s="355">
        <f>ApV!M30</f>
        <v>0</v>
      </c>
      <c r="P11" s="340"/>
      <c r="Q11" s="348"/>
      <c r="R11" s="348"/>
      <c r="S11" s="355"/>
      <c r="T11" s="969">
        <f>SUM(B11,H11,D11,F11)</f>
        <v>19</v>
      </c>
      <c r="U11" s="585">
        <f>SUM(C11,E11,G11,I11,K11,N11,O11,M11,Q11,R11,S11)</f>
        <v>989.8</v>
      </c>
    </row>
    <row r="12" spans="1:21" s="224" customFormat="1" ht="17.25" customHeight="1">
      <c r="A12" s="44" t="s">
        <v>17</v>
      </c>
      <c r="B12" s="340">
        <v>20</v>
      </c>
      <c r="C12" s="587">
        <v>729</v>
      </c>
      <c r="D12" s="47"/>
      <c r="E12" s="342"/>
      <c r="F12" s="340">
        <f>ApV!D75</f>
        <v>10</v>
      </c>
      <c r="G12" s="348">
        <f>ApV!E75</f>
        <v>189.7</v>
      </c>
      <c r="H12" s="47">
        <f>ApV!F75</f>
        <v>0</v>
      </c>
      <c r="I12" s="47">
        <f>ApV!G75</f>
        <v>0</v>
      </c>
      <c r="J12" s="47">
        <f>ApV!H75</f>
        <v>0</v>
      </c>
      <c r="K12" s="47">
        <f>ApV!I75</f>
        <v>0</v>
      </c>
      <c r="L12" s="47">
        <f>ApV!J75</f>
        <v>0</v>
      </c>
      <c r="M12" s="47">
        <f>ApV!K75</f>
        <v>0</v>
      </c>
      <c r="N12" s="47">
        <f>ApV!L75</f>
        <v>0</v>
      </c>
      <c r="O12" s="355">
        <f>ApV!M75</f>
        <v>0</v>
      </c>
      <c r="P12" s="340"/>
      <c r="Q12" s="348"/>
      <c r="R12" s="348"/>
      <c r="S12" s="355"/>
      <c r="T12" s="969">
        <f>SUM(B12,H12,D12,F12)</f>
        <v>30</v>
      </c>
      <c r="U12" s="585">
        <f>SUM(C12,E12,G12,I12,K12,N12,O12,M12,Q12,R12,S12)</f>
        <v>918.7</v>
      </c>
    </row>
    <row r="13" spans="1:21" s="224" customFormat="1" ht="17.25" customHeight="1">
      <c r="A13" s="44" t="s">
        <v>18</v>
      </c>
      <c r="B13" s="340">
        <v>9</v>
      </c>
      <c r="C13" s="587">
        <v>228.7</v>
      </c>
      <c r="D13" s="47"/>
      <c r="E13" s="342"/>
      <c r="F13" s="340">
        <f>ApV!D96</f>
        <v>8</v>
      </c>
      <c r="G13" s="348">
        <f>ApV!E96</f>
        <v>186.3</v>
      </c>
      <c r="H13" s="47">
        <f>ApV!F96</f>
        <v>0</v>
      </c>
      <c r="I13" s="47">
        <f>ApV!G96</f>
        <v>0</v>
      </c>
      <c r="J13" s="47">
        <f>ApV!H96</f>
        <v>0</v>
      </c>
      <c r="K13" s="47">
        <f>ApV!I96</f>
        <v>0</v>
      </c>
      <c r="L13" s="47">
        <f>ApV!J96</f>
        <v>0</v>
      </c>
      <c r="M13" s="47">
        <f>ApV!K96</f>
        <v>0</v>
      </c>
      <c r="N13" s="47">
        <f>ApV!L96</f>
        <v>0</v>
      </c>
      <c r="O13" s="355">
        <f>ApV!M96</f>
        <v>0</v>
      </c>
      <c r="P13" s="340"/>
      <c r="Q13" s="348"/>
      <c r="R13" s="348"/>
      <c r="S13" s="355"/>
      <c r="T13" s="969">
        <f>SUM(B13,H13,D13,F13)</f>
        <v>17</v>
      </c>
      <c r="U13" s="585">
        <f>SUM(C13,E13,G13,I13,K13,N13,O13,M13,Q13,R13,S13)</f>
        <v>415</v>
      </c>
    </row>
    <row r="14" spans="1:21" s="224" customFormat="1" ht="17.25" customHeight="1">
      <c r="A14" s="46" t="s">
        <v>19</v>
      </c>
      <c r="B14" s="341"/>
      <c r="C14" s="588"/>
      <c r="D14" s="227"/>
      <c r="E14" s="343"/>
      <c r="F14" s="340">
        <f>ApV!D107</f>
        <v>11</v>
      </c>
      <c r="G14" s="348">
        <f>ApV!E107</f>
        <v>592.3</v>
      </c>
      <c r="H14" s="47">
        <f>ApV!F107</f>
        <v>0</v>
      </c>
      <c r="I14" s="47">
        <f>ApV!G107</f>
        <v>0</v>
      </c>
      <c r="J14" s="47">
        <f>ApV!H107</f>
        <v>0</v>
      </c>
      <c r="K14" s="47">
        <f>ApV!I107</f>
        <v>0</v>
      </c>
      <c r="L14" s="47">
        <f>ApV!J107</f>
        <v>0</v>
      </c>
      <c r="M14" s="348">
        <f>ApV!K107</f>
        <v>257.6</v>
      </c>
      <c r="N14" s="47">
        <f>ApV!L107</f>
        <v>0</v>
      </c>
      <c r="O14" s="355">
        <f>ApV!M107</f>
        <v>0</v>
      </c>
      <c r="P14" s="341"/>
      <c r="Q14" s="349"/>
      <c r="R14" s="349"/>
      <c r="S14" s="356"/>
      <c r="T14" s="756">
        <f>SUM(B14,H14,D14,F14)</f>
        <v>11</v>
      </c>
      <c r="U14" s="585">
        <f>SUM(C14,E14,G14,I14,K14,N14,O14,M14,Q14,R14,S14)</f>
        <v>849.9</v>
      </c>
    </row>
    <row r="15" spans="1:21" ht="17.25" customHeight="1">
      <c r="A15" s="428" t="s">
        <v>20</v>
      </c>
      <c r="B15" s="441"/>
      <c r="C15" s="389"/>
      <c r="D15" s="443"/>
      <c r="E15" s="444"/>
      <c r="F15" s="441"/>
      <c r="G15" s="442"/>
      <c r="H15" s="443"/>
      <c r="I15" s="442"/>
      <c r="J15" s="443"/>
      <c r="K15" s="442"/>
      <c r="L15" s="442"/>
      <c r="M15" s="442"/>
      <c r="N15" s="442"/>
      <c r="O15" s="444"/>
      <c r="P15" s="441"/>
      <c r="Q15" s="443"/>
      <c r="R15" s="445"/>
      <c r="S15" s="446"/>
      <c r="T15" s="440"/>
      <c r="U15" s="386"/>
    </row>
    <row r="16" spans="1:21" s="224" customFormat="1" ht="17.25" customHeight="1">
      <c r="A16" s="44" t="s">
        <v>21</v>
      </c>
      <c r="B16" s="972"/>
      <c r="C16" s="587"/>
      <c r="D16" s="973"/>
      <c r="E16" s="342"/>
      <c r="F16" s="340"/>
      <c r="G16" s="47"/>
      <c r="H16" s="47"/>
      <c r="I16" s="47"/>
      <c r="J16" s="47"/>
      <c r="K16" s="47"/>
      <c r="L16" s="47"/>
      <c r="M16" s="47"/>
      <c r="N16" s="47"/>
      <c r="O16" s="354"/>
      <c r="P16" s="340"/>
      <c r="Q16" s="47"/>
      <c r="R16" s="348"/>
      <c r="S16" s="355"/>
      <c r="T16" s="969">
        <f>SUM(B16,H16,D16,F16)</f>
        <v>0</v>
      </c>
      <c r="U16" s="585">
        <f>SUM(C16,E16,G16,I16,K16,N16,O16,M16,Q16,R16,S16)</f>
        <v>0</v>
      </c>
    </row>
    <row r="17" spans="1:21" s="224" customFormat="1" ht="17.25" customHeight="1">
      <c r="A17" s="1109" t="s">
        <v>22</v>
      </c>
      <c r="B17" s="972">
        <v>12</v>
      </c>
      <c r="C17" s="587">
        <v>917.8</v>
      </c>
      <c r="D17" s="973"/>
      <c r="E17" s="342"/>
      <c r="F17" s="340"/>
      <c r="G17" s="47"/>
      <c r="H17" s="47"/>
      <c r="I17" s="47"/>
      <c r="J17" s="47"/>
      <c r="K17" s="47"/>
      <c r="L17" s="47"/>
      <c r="M17" s="47"/>
      <c r="N17" s="47"/>
      <c r="O17" s="354"/>
      <c r="P17" s="340"/>
      <c r="Q17" s="47"/>
      <c r="R17" s="348"/>
      <c r="S17" s="355"/>
      <c r="T17" s="969">
        <f>SUM(B17,H17,D17,F17)</f>
        <v>12</v>
      </c>
      <c r="U17" s="585">
        <f>SUM(C17,E17,G17,I17,K17,N17,O17,M17,Q17,R17,S17)</f>
        <v>917.8</v>
      </c>
    </row>
    <row r="18" spans="1:21" s="224" customFormat="1" ht="17.25" customHeight="1">
      <c r="A18" s="46" t="s">
        <v>590</v>
      </c>
      <c r="B18" s="733">
        <v>24</v>
      </c>
      <c r="C18" s="588">
        <v>4566.4</v>
      </c>
      <c r="D18" s="734"/>
      <c r="E18" s="343"/>
      <c r="F18" s="340"/>
      <c r="G18" s="47"/>
      <c r="H18" s="47"/>
      <c r="I18" s="47"/>
      <c r="J18" s="47"/>
      <c r="K18" s="47"/>
      <c r="L18" s="47"/>
      <c r="M18" s="47"/>
      <c r="N18" s="47"/>
      <c r="O18" s="354"/>
      <c r="P18" s="341"/>
      <c r="Q18" s="227"/>
      <c r="R18" s="349"/>
      <c r="S18" s="356"/>
      <c r="T18" s="756">
        <f>SUM(B18,H18,D18,F18)</f>
        <v>24</v>
      </c>
      <c r="U18" s="585">
        <f>SUM(C18,E18,G18,I18,K18,N18,O18,M18,Q18,R18,S18)</f>
        <v>4566.4</v>
      </c>
    </row>
    <row r="19" spans="1:21" ht="17.25" customHeight="1">
      <c r="A19" s="428" t="s">
        <v>23</v>
      </c>
      <c r="B19" s="571"/>
      <c r="C19" s="386"/>
      <c r="D19" s="573"/>
      <c r="E19" s="574"/>
      <c r="F19" s="571"/>
      <c r="G19" s="572"/>
      <c r="H19" s="573"/>
      <c r="I19" s="572"/>
      <c r="J19" s="573"/>
      <c r="K19" s="572"/>
      <c r="L19" s="572"/>
      <c r="M19" s="572"/>
      <c r="N19" s="572"/>
      <c r="O19" s="574"/>
      <c r="P19" s="571"/>
      <c r="Q19" s="573"/>
      <c r="R19" s="575"/>
      <c r="S19" s="576"/>
      <c r="T19" s="440"/>
      <c r="U19" s="386"/>
    </row>
    <row r="20" spans="1:21" ht="18" customHeight="1">
      <c r="A20" s="44" t="s">
        <v>24</v>
      </c>
      <c r="B20" s="340"/>
      <c r="C20" s="587"/>
      <c r="D20" s="47">
        <v>1</v>
      </c>
      <c r="E20" s="354">
        <v>1654.9</v>
      </c>
      <c r="F20" s="340"/>
      <c r="G20" s="348"/>
      <c r="H20" s="47"/>
      <c r="I20" s="47"/>
      <c r="J20" s="47"/>
      <c r="K20" s="348"/>
      <c r="L20" s="348"/>
      <c r="M20" s="348"/>
      <c r="N20" s="348"/>
      <c r="O20" s="355"/>
      <c r="P20" s="340"/>
      <c r="Q20" s="47"/>
      <c r="R20" s="348"/>
      <c r="S20" s="355"/>
      <c r="T20" s="969">
        <f>SUM(B20,H20,D20,F20)</f>
        <v>1</v>
      </c>
      <c r="U20" s="585">
        <f>SUM(C20,E20,G20,I20,K20,N20,O20,M20,Q20,R20,S20)</f>
        <v>1654.9</v>
      </c>
    </row>
    <row r="21" spans="1:21" ht="18" customHeight="1">
      <c r="A21" s="44" t="s">
        <v>25</v>
      </c>
      <c r="B21" s="340">
        <v>25</v>
      </c>
      <c r="C21" s="587">
        <v>43.8</v>
      </c>
      <c r="D21" s="47">
        <v>47</v>
      </c>
      <c r="E21" s="584">
        <v>20479.2</v>
      </c>
      <c r="F21" s="340">
        <f>ApV!D10</f>
        <v>0</v>
      </c>
      <c r="G21" s="47">
        <f>ApV!E10</f>
        <v>0</v>
      </c>
      <c r="H21" s="47">
        <f>ApV!F10</f>
        <v>0</v>
      </c>
      <c r="I21" s="47">
        <f>ApV!G10</f>
        <v>0</v>
      </c>
      <c r="J21" s="47">
        <f>ApV!H10</f>
        <v>7</v>
      </c>
      <c r="K21" s="348">
        <f>ApV!I10</f>
        <v>922.2</v>
      </c>
      <c r="L21" s="47">
        <f>ApV!J10</f>
        <v>14</v>
      </c>
      <c r="M21" s="348">
        <f>ApV!K10</f>
        <v>4091.3</v>
      </c>
      <c r="N21" s="348">
        <f>ApV!L10</f>
        <v>403</v>
      </c>
      <c r="O21" s="354">
        <f>ApV!M10</f>
        <v>885</v>
      </c>
      <c r="P21" s="340"/>
      <c r="Q21" s="348"/>
      <c r="R21" s="348"/>
      <c r="S21" s="354"/>
      <c r="T21" s="969">
        <f>SUM(B21,H21,D21,F21)</f>
        <v>72</v>
      </c>
      <c r="U21" s="585">
        <f>SUM(C21,E21,G21,I21,K21,N21,O21,M21,Q21,R21,S21)</f>
        <v>26824.5</v>
      </c>
    </row>
    <row r="22" spans="1:21" ht="18" customHeight="1">
      <c r="A22" s="44" t="s">
        <v>26</v>
      </c>
      <c r="B22" s="340"/>
      <c r="C22" s="587"/>
      <c r="D22" s="47"/>
      <c r="E22" s="584"/>
      <c r="F22" s="340"/>
      <c r="G22" s="348"/>
      <c r="H22" s="47"/>
      <c r="I22" s="348"/>
      <c r="J22" s="47"/>
      <c r="K22" s="348"/>
      <c r="L22" s="348"/>
      <c r="M22" s="348"/>
      <c r="N22" s="47"/>
      <c r="O22" s="355"/>
      <c r="P22" s="340"/>
      <c r="Q22" s="348"/>
      <c r="R22" s="348"/>
      <c r="S22" s="354"/>
      <c r="T22" s="969">
        <f>SUM(B22,H22,D22,F22)</f>
        <v>0</v>
      </c>
      <c r="U22" s="585">
        <f>SUM(C22,E22,G22,I22,K22,N22,O22,M22,Q22,R22,S22)</f>
        <v>0</v>
      </c>
    </row>
    <row r="23" spans="1:21" ht="18" customHeight="1">
      <c r="A23" s="44" t="s">
        <v>406</v>
      </c>
      <c r="B23" s="340">
        <v>1</v>
      </c>
      <c r="C23" s="587">
        <v>165</v>
      </c>
      <c r="D23" s="47"/>
      <c r="E23" s="584"/>
      <c r="F23" s="340"/>
      <c r="G23" s="348"/>
      <c r="H23" s="47"/>
      <c r="I23" s="348"/>
      <c r="J23" s="47"/>
      <c r="K23" s="348"/>
      <c r="L23" s="348"/>
      <c r="M23" s="348"/>
      <c r="N23" s="47"/>
      <c r="O23" s="355"/>
      <c r="P23" s="340"/>
      <c r="Q23" s="348"/>
      <c r="R23" s="348"/>
      <c r="S23" s="354"/>
      <c r="T23" s="969">
        <f aca="true" t="shared" si="0" ref="T23:T31">SUM(B23,H23,D23,F23)</f>
        <v>1</v>
      </c>
      <c r="U23" s="585">
        <f aca="true" t="shared" si="1" ref="U23:U31">SUM(C23,E23,G23,I23,K23,N23,O23,M23,Q23,R23,S23)</f>
        <v>165</v>
      </c>
    </row>
    <row r="24" spans="1:21" ht="18" customHeight="1">
      <c r="A24" s="44" t="s">
        <v>407</v>
      </c>
      <c r="B24" s="340">
        <v>1</v>
      </c>
      <c r="C24" s="587">
        <v>165</v>
      </c>
      <c r="D24" s="47"/>
      <c r="E24" s="584"/>
      <c r="F24" s="340"/>
      <c r="G24" s="348"/>
      <c r="H24" s="47"/>
      <c r="I24" s="348"/>
      <c r="J24" s="47"/>
      <c r="K24" s="348"/>
      <c r="L24" s="348"/>
      <c r="M24" s="348"/>
      <c r="N24" s="47"/>
      <c r="O24" s="355"/>
      <c r="P24" s="340"/>
      <c r="Q24" s="348"/>
      <c r="R24" s="348"/>
      <c r="S24" s="354"/>
      <c r="T24" s="969">
        <f t="shared" si="0"/>
        <v>1</v>
      </c>
      <c r="U24" s="585">
        <f t="shared" si="1"/>
        <v>165</v>
      </c>
    </row>
    <row r="25" spans="1:21" ht="18" customHeight="1">
      <c r="A25" s="44" t="s">
        <v>27</v>
      </c>
      <c r="B25" s="340"/>
      <c r="C25" s="587"/>
      <c r="D25" s="47"/>
      <c r="E25" s="342"/>
      <c r="F25" s="340">
        <f>ApV!D33</f>
        <v>0</v>
      </c>
      <c r="G25" s="47">
        <f>ApV!E33</f>
        <v>0</v>
      </c>
      <c r="H25" s="47">
        <f>ApV!F33</f>
        <v>0</v>
      </c>
      <c r="I25" s="47">
        <f>ApV!G33</f>
        <v>0</v>
      </c>
      <c r="J25" s="47">
        <f>ApV!H33</f>
        <v>3</v>
      </c>
      <c r="K25" s="348">
        <f>ApV!I33</f>
        <v>269.7</v>
      </c>
      <c r="L25" s="47">
        <f>ApV!J33</f>
        <v>0</v>
      </c>
      <c r="M25" s="47">
        <f>ApV!K33</f>
        <v>0</v>
      </c>
      <c r="N25" s="47">
        <f>ApV!L33</f>
        <v>0</v>
      </c>
      <c r="O25" s="355">
        <f>ApV!M33</f>
        <v>0</v>
      </c>
      <c r="P25" s="340"/>
      <c r="Q25" s="47"/>
      <c r="R25" s="348"/>
      <c r="S25" s="355"/>
      <c r="T25" s="969">
        <f t="shared" si="0"/>
        <v>0</v>
      </c>
      <c r="U25" s="585">
        <f t="shared" si="1"/>
        <v>269.7</v>
      </c>
    </row>
    <row r="26" spans="1:21" ht="18" customHeight="1">
      <c r="A26" s="44" t="s">
        <v>28</v>
      </c>
      <c r="B26" s="340">
        <v>1</v>
      </c>
      <c r="C26" s="587">
        <v>165</v>
      </c>
      <c r="D26" s="47"/>
      <c r="E26" s="342"/>
      <c r="F26" s="340"/>
      <c r="G26" s="348"/>
      <c r="H26" s="47"/>
      <c r="I26" s="47"/>
      <c r="J26" s="47"/>
      <c r="K26" s="348"/>
      <c r="L26" s="348"/>
      <c r="M26" s="348"/>
      <c r="N26" s="47"/>
      <c r="O26" s="355"/>
      <c r="P26" s="340"/>
      <c r="Q26" s="47"/>
      <c r="R26" s="348"/>
      <c r="S26" s="355"/>
      <c r="T26" s="969">
        <f t="shared" si="0"/>
        <v>1</v>
      </c>
      <c r="U26" s="585">
        <f t="shared" si="1"/>
        <v>165</v>
      </c>
    </row>
    <row r="27" spans="1:21" ht="18" customHeight="1">
      <c r="A27" s="44" t="s">
        <v>29</v>
      </c>
      <c r="B27" s="340"/>
      <c r="C27" s="587"/>
      <c r="D27" s="47">
        <v>1</v>
      </c>
      <c r="E27" s="342">
        <v>54.6</v>
      </c>
      <c r="F27" s="340"/>
      <c r="G27" s="348"/>
      <c r="H27" s="47"/>
      <c r="I27" s="47"/>
      <c r="J27" s="47"/>
      <c r="K27" s="348"/>
      <c r="L27" s="348"/>
      <c r="M27" s="348"/>
      <c r="N27" s="47"/>
      <c r="O27" s="355"/>
      <c r="P27" s="340"/>
      <c r="Q27" s="47"/>
      <c r="R27" s="348"/>
      <c r="S27" s="355"/>
      <c r="T27" s="969">
        <f t="shared" si="0"/>
        <v>1</v>
      </c>
      <c r="U27" s="585">
        <f t="shared" si="1"/>
        <v>54.6</v>
      </c>
    </row>
    <row r="28" spans="1:21" s="290" customFormat="1" ht="17.25" customHeight="1">
      <c r="A28" s="44" t="s">
        <v>30</v>
      </c>
      <c r="B28" s="340">
        <v>2</v>
      </c>
      <c r="C28" s="587">
        <v>203.6</v>
      </c>
      <c r="D28" s="47"/>
      <c r="E28" s="342"/>
      <c r="F28" s="340"/>
      <c r="G28" s="336"/>
      <c r="H28" s="47"/>
      <c r="I28" s="336"/>
      <c r="J28" s="47"/>
      <c r="K28" s="336"/>
      <c r="L28" s="336"/>
      <c r="M28" s="336"/>
      <c r="N28" s="336"/>
      <c r="O28" s="342"/>
      <c r="P28" s="340"/>
      <c r="Q28" s="47"/>
      <c r="R28" s="348"/>
      <c r="S28" s="355"/>
      <c r="T28" s="969">
        <f t="shared" si="0"/>
        <v>2</v>
      </c>
      <c r="U28" s="585">
        <f t="shared" si="1"/>
        <v>203.6</v>
      </c>
    </row>
    <row r="29" spans="1:21" s="290" customFormat="1" ht="17.25" customHeight="1">
      <c r="A29" s="44" t="s">
        <v>201</v>
      </c>
      <c r="B29" s="340">
        <v>7</v>
      </c>
      <c r="C29" s="587">
        <v>761.9</v>
      </c>
      <c r="D29" s="47"/>
      <c r="E29" s="336"/>
      <c r="F29" s="340"/>
      <c r="G29" s="336"/>
      <c r="H29" s="47"/>
      <c r="I29" s="336"/>
      <c r="J29" s="47"/>
      <c r="K29" s="336"/>
      <c r="L29" s="336"/>
      <c r="M29" s="336"/>
      <c r="N29" s="336"/>
      <c r="O29" s="342"/>
      <c r="P29" s="340"/>
      <c r="Q29" s="47"/>
      <c r="R29" s="348"/>
      <c r="S29" s="355"/>
      <c r="T29" s="969">
        <f t="shared" si="0"/>
        <v>7</v>
      </c>
      <c r="U29" s="585">
        <f t="shared" si="1"/>
        <v>761.9</v>
      </c>
    </row>
    <row r="30" spans="1:21" ht="19.5">
      <c r="A30" s="210" t="s">
        <v>31</v>
      </c>
      <c r="B30" s="340">
        <v>8</v>
      </c>
      <c r="C30" s="587">
        <v>331.1</v>
      </c>
      <c r="D30" s="1100"/>
      <c r="E30" s="1101"/>
      <c r="F30" s="1102"/>
      <c r="G30" s="1101"/>
      <c r="H30" s="1101"/>
      <c r="I30" s="1101"/>
      <c r="J30" s="1103"/>
      <c r="K30" s="1104"/>
      <c r="L30" s="1104"/>
      <c r="M30" s="1104"/>
      <c r="N30" s="1101"/>
      <c r="O30" s="1105"/>
      <c r="P30" s="1106"/>
      <c r="Q30" s="1100"/>
      <c r="R30" s="1107"/>
      <c r="S30" s="1108"/>
      <c r="T30" s="969">
        <f t="shared" si="0"/>
        <v>8</v>
      </c>
      <c r="U30" s="585">
        <f t="shared" si="1"/>
        <v>331.1</v>
      </c>
    </row>
    <row r="31" spans="1:21" ht="19.5">
      <c r="A31" s="579" t="s">
        <v>411</v>
      </c>
      <c r="B31" s="341">
        <v>2</v>
      </c>
      <c r="C31" s="588">
        <v>112.4</v>
      </c>
      <c r="D31" s="1111"/>
      <c r="E31" s="1112"/>
      <c r="F31" s="1113"/>
      <c r="G31" s="1112"/>
      <c r="H31" s="1112"/>
      <c r="I31" s="1112"/>
      <c r="J31" s="1114"/>
      <c r="K31" s="1115"/>
      <c r="L31" s="1115"/>
      <c r="M31" s="1115"/>
      <c r="N31" s="1112"/>
      <c r="O31" s="1116"/>
      <c r="P31" s="1117"/>
      <c r="Q31" s="1111"/>
      <c r="R31" s="1118"/>
      <c r="S31" s="1119"/>
      <c r="T31" s="756">
        <f t="shared" si="0"/>
        <v>2</v>
      </c>
      <c r="U31" s="1120">
        <f t="shared" si="1"/>
        <v>112.4</v>
      </c>
    </row>
    <row r="32" spans="1:21" ht="18" customHeight="1">
      <c r="A32" s="428" t="s">
        <v>369</v>
      </c>
      <c r="B32" s="571"/>
      <c r="C32" s="386"/>
      <c r="D32" s="573"/>
      <c r="E32" s="574"/>
      <c r="F32" s="571"/>
      <c r="G32" s="572"/>
      <c r="H32" s="573"/>
      <c r="I32" s="572"/>
      <c r="J32" s="573"/>
      <c r="K32" s="572"/>
      <c r="L32" s="572"/>
      <c r="M32" s="572"/>
      <c r="N32" s="572"/>
      <c r="O32" s="574"/>
      <c r="P32" s="571"/>
      <c r="Q32" s="573"/>
      <c r="R32" s="575"/>
      <c r="S32" s="576"/>
      <c r="T32" s="440"/>
      <c r="U32" s="386"/>
    </row>
    <row r="33" spans="1:21" ht="17.25" customHeight="1">
      <c r="A33" s="44" t="s">
        <v>167</v>
      </c>
      <c r="B33" s="340">
        <v>1</v>
      </c>
      <c r="C33" s="587">
        <v>192.2</v>
      </c>
      <c r="D33" s="47"/>
      <c r="E33" s="342"/>
      <c r="F33" s="340"/>
      <c r="G33" s="336"/>
      <c r="H33" s="47"/>
      <c r="I33" s="336"/>
      <c r="J33" s="47"/>
      <c r="K33" s="348"/>
      <c r="L33" s="348"/>
      <c r="M33" s="348"/>
      <c r="N33" s="47"/>
      <c r="O33" s="355"/>
      <c r="P33" s="340"/>
      <c r="Q33" s="348"/>
      <c r="R33" s="348"/>
      <c r="S33" s="355"/>
      <c r="T33" s="969">
        <f>SUM(B33,H33,D33,F33)</f>
        <v>1</v>
      </c>
      <c r="U33" s="585">
        <f>SUM(C33,E33,G33,I33,K33,N33,O33,M33,Q33,R33,S33)</f>
        <v>192.2</v>
      </c>
    </row>
    <row r="34" spans="1:21" ht="17.25" customHeight="1">
      <c r="A34" s="44" t="s">
        <v>135</v>
      </c>
      <c r="B34" s="340">
        <v>17</v>
      </c>
      <c r="C34" s="587">
        <v>2496.4</v>
      </c>
      <c r="D34" s="47">
        <v>2</v>
      </c>
      <c r="E34" s="342">
        <v>1186</v>
      </c>
      <c r="F34" s="340"/>
      <c r="G34" s="336"/>
      <c r="H34" s="47"/>
      <c r="I34" s="336"/>
      <c r="J34" s="47"/>
      <c r="K34" s="348"/>
      <c r="L34" s="348"/>
      <c r="M34" s="348"/>
      <c r="N34" s="47"/>
      <c r="O34" s="355"/>
      <c r="P34" s="340"/>
      <c r="Q34" s="348"/>
      <c r="R34" s="348"/>
      <c r="S34" s="355"/>
      <c r="T34" s="969">
        <f>SUM(B34,H34,D34,F34)</f>
        <v>19</v>
      </c>
      <c r="U34" s="585">
        <f>SUM(C34,E34,G34,I34,K34,N34,O34,M34,Q34,R34,S34)</f>
        <v>3682.4</v>
      </c>
    </row>
    <row r="35" spans="1:21" ht="17.25" customHeight="1">
      <c r="A35" s="44" t="s">
        <v>342</v>
      </c>
      <c r="B35" s="340">
        <v>3</v>
      </c>
      <c r="C35" s="587">
        <v>726</v>
      </c>
      <c r="D35" s="47"/>
      <c r="E35" s="342"/>
      <c r="F35" s="340"/>
      <c r="G35" s="336"/>
      <c r="H35" s="47"/>
      <c r="I35" s="336"/>
      <c r="J35" s="47"/>
      <c r="K35" s="348"/>
      <c r="L35" s="348"/>
      <c r="M35" s="348"/>
      <c r="N35" s="47"/>
      <c r="O35" s="355"/>
      <c r="P35" s="340"/>
      <c r="Q35" s="348"/>
      <c r="R35" s="348"/>
      <c r="S35" s="355"/>
      <c r="T35" s="969">
        <f aca="true" t="shared" si="2" ref="T35:T42">SUM(B35,H35,D35,F35)</f>
        <v>3</v>
      </c>
      <c r="U35" s="585">
        <f aca="true" t="shared" si="3" ref="U35:U42">SUM(C35,E35,G35,I35,K35,N35,O35,M35,Q35,R35,S35)</f>
        <v>726</v>
      </c>
    </row>
    <row r="36" spans="1:21" ht="17.25" customHeight="1">
      <c r="A36" s="44" t="s">
        <v>589</v>
      </c>
      <c r="B36" s="340">
        <v>4</v>
      </c>
      <c r="C36" s="587">
        <v>867.6</v>
      </c>
      <c r="D36" s="47"/>
      <c r="E36" s="342"/>
      <c r="F36" s="340"/>
      <c r="G36" s="336"/>
      <c r="H36" s="47"/>
      <c r="I36" s="336"/>
      <c r="J36" s="47"/>
      <c r="K36" s="348"/>
      <c r="L36" s="348"/>
      <c r="M36" s="348"/>
      <c r="N36" s="47"/>
      <c r="O36" s="355"/>
      <c r="P36" s="340"/>
      <c r="Q36" s="348"/>
      <c r="R36" s="348"/>
      <c r="S36" s="355"/>
      <c r="T36" s="969">
        <f t="shared" si="2"/>
        <v>4</v>
      </c>
      <c r="U36" s="585">
        <f t="shared" si="3"/>
        <v>867.6</v>
      </c>
    </row>
    <row r="37" spans="1:21" ht="17.25" customHeight="1">
      <c r="A37" s="44" t="s">
        <v>413</v>
      </c>
      <c r="B37" s="340">
        <v>3</v>
      </c>
      <c r="C37" s="587">
        <v>758.4</v>
      </c>
      <c r="D37" s="47"/>
      <c r="E37" s="342"/>
      <c r="F37" s="340"/>
      <c r="G37" s="336"/>
      <c r="H37" s="47"/>
      <c r="I37" s="336"/>
      <c r="J37" s="47"/>
      <c r="K37" s="348"/>
      <c r="L37" s="348"/>
      <c r="M37" s="348"/>
      <c r="N37" s="47"/>
      <c r="O37" s="355"/>
      <c r="P37" s="340"/>
      <c r="Q37" s="348"/>
      <c r="R37" s="348"/>
      <c r="S37" s="355"/>
      <c r="T37" s="969">
        <f t="shared" si="2"/>
        <v>3</v>
      </c>
      <c r="U37" s="585">
        <f t="shared" si="3"/>
        <v>758.4</v>
      </c>
    </row>
    <row r="38" spans="1:21" ht="17.25" customHeight="1">
      <c r="A38" s="44" t="s">
        <v>526</v>
      </c>
      <c r="B38" s="340">
        <v>11</v>
      </c>
      <c r="C38" s="587">
        <v>2435.9</v>
      </c>
      <c r="D38" s="47"/>
      <c r="E38" s="342"/>
      <c r="F38" s="340"/>
      <c r="G38" s="336"/>
      <c r="H38" s="47"/>
      <c r="I38" s="336"/>
      <c r="J38" s="47"/>
      <c r="K38" s="348"/>
      <c r="L38" s="348"/>
      <c r="M38" s="348"/>
      <c r="N38" s="47"/>
      <c r="O38" s="355"/>
      <c r="P38" s="340"/>
      <c r="Q38" s="348"/>
      <c r="R38" s="348"/>
      <c r="S38" s="355"/>
      <c r="T38" s="969">
        <f t="shared" si="2"/>
        <v>11</v>
      </c>
      <c r="U38" s="585">
        <f t="shared" si="3"/>
        <v>2435.9</v>
      </c>
    </row>
    <row r="39" spans="1:21" ht="17.25" customHeight="1">
      <c r="A39" s="44" t="s">
        <v>591</v>
      </c>
      <c r="B39" s="340">
        <v>1</v>
      </c>
      <c r="C39" s="587">
        <v>143.6</v>
      </c>
      <c r="D39" s="47"/>
      <c r="E39" s="342"/>
      <c r="F39" s="340"/>
      <c r="G39" s="336"/>
      <c r="H39" s="47"/>
      <c r="I39" s="336"/>
      <c r="J39" s="47"/>
      <c r="K39" s="348"/>
      <c r="L39" s="348"/>
      <c r="M39" s="348"/>
      <c r="N39" s="47"/>
      <c r="O39" s="355"/>
      <c r="P39" s="340"/>
      <c r="Q39" s="348"/>
      <c r="R39" s="348"/>
      <c r="S39" s="355"/>
      <c r="T39" s="969">
        <f t="shared" si="2"/>
        <v>1</v>
      </c>
      <c r="U39" s="585">
        <f t="shared" si="3"/>
        <v>143.6</v>
      </c>
    </row>
    <row r="40" spans="1:21" ht="17.25" customHeight="1">
      <c r="A40" s="44" t="s">
        <v>214</v>
      </c>
      <c r="B40" s="340">
        <v>8</v>
      </c>
      <c r="C40" s="587">
        <v>1448.8</v>
      </c>
      <c r="D40" s="47"/>
      <c r="E40" s="342"/>
      <c r="F40" s="340"/>
      <c r="G40" s="336"/>
      <c r="H40" s="47"/>
      <c r="I40" s="336"/>
      <c r="J40" s="47"/>
      <c r="K40" s="348"/>
      <c r="L40" s="348"/>
      <c r="M40" s="348"/>
      <c r="N40" s="47"/>
      <c r="O40" s="355"/>
      <c r="P40" s="340"/>
      <c r="Q40" s="348"/>
      <c r="R40" s="348"/>
      <c r="S40" s="355"/>
      <c r="T40" s="969">
        <f t="shared" si="2"/>
        <v>8</v>
      </c>
      <c r="U40" s="585">
        <f t="shared" si="3"/>
        <v>1448.8</v>
      </c>
    </row>
    <row r="41" spans="1:21" ht="17.25" customHeight="1">
      <c r="A41" s="44" t="s">
        <v>351</v>
      </c>
      <c r="B41" s="340">
        <v>2</v>
      </c>
      <c r="C41" s="587">
        <v>418.6</v>
      </c>
      <c r="D41" s="47"/>
      <c r="E41" s="342"/>
      <c r="F41" s="340"/>
      <c r="G41" s="336"/>
      <c r="H41" s="47"/>
      <c r="I41" s="336"/>
      <c r="J41" s="47"/>
      <c r="K41" s="348"/>
      <c r="L41" s="348"/>
      <c r="M41" s="348"/>
      <c r="N41" s="47"/>
      <c r="O41" s="355"/>
      <c r="P41" s="340"/>
      <c r="Q41" s="348"/>
      <c r="R41" s="348"/>
      <c r="S41" s="355"/>
      <c r="T41" s="969">
        <f t="shared" si="2"/>
        <v>2</v>
      </c>
      <c r="U41" s="585">
        <f t="shared" si="3"/>
        <v>418.6</v>
      </c>
    </row>
    <row r="42" spans="1:21" ht="17.25" customHeight="1">
      <c r="A42" s="44" t="s">
        <v>341</v>
      </c>
      <c r="B42" s="340">
        <v>5</v>
      </c>
      <c r="C42" s="587">
        <v>797</v>
      </c>
      <c r="D42" s="47"/>
      <c r="E42" s="342"/>
      <c r="F42" s="340">
        <f>ApV!D110</f>
        <v>0</v>
      </c>
      <c r="G42" s="47">
        <f>ApV!E110</f>
        <v>0</v>
      </c>
      <c r="H42" s="47">
        <f>ApV!F110</f>
        <v>0</v>
      </c>
      <c r="I42" s="47">
        <f>ApV!G110</f>
        <v>0</v>
      </c>
      <c r="J42" s="47">
        <f>ApV!H110</f>
        <v>4</v>
      </c>
      <c r="K42" s="348">
        <f>ApV!I110</f>
        <v>808.4</v>
      </c>
      <c r="L42" s="47">
        <f>ApV!J110</f>
        <v>0</v>
      </c>
      <c r="M42" s="47">
        <f>ApV!K110</f>
        <v>0</v>
      </c>
      <c r="N42" s="47">
        <f>ApV!L110</f>
        <v>0</v>
      </c>
      <c r="O42" s="355">
        <f>ApV!M110</f>
        <v>0</v>
      </c>
      <c r="P42" s="340"/>
      <c r="Q42" s="348"/>
      <c r="R42" s="348"/>
      <c r="S42" s="355"/>
      <c r="T42" s="969">
        <f t="shared" si="2"/>
        <v>5</v>
      </c>
      <c r="U42" s="585">
        <f t="shared" si="3"/>
        <v>1605.4</v>
      </c>
    </row>
    <row r="43" spans="1:21" ht="17.25" customHeight="1">
      <c r="A43" s="46" t="s">
        <v>262</v>
      </c>
      <c r="B43" s="341">
        <v>1</v>
      </c>
      <c r="C43" s="588">
        <v>160.9</v>
      </c>
      <c r="D43" s="227"/>
      <c r="E43" s="343"/>
      <c r="F43" s="340"/>
      <c r="G43" s="336"/>
      <c r="H43" s="47"/>
      <c r="I43" s="336"/>
      <c r="J43" s="47"/>
      <c r="K43" s="348"/>
      <c r="L43" s="348"/>
      <c r="M43" s="348"/>
      <c r="N43" s="47"/>
      <c r="O43" s="355"/>
      <c r="P43" s="341"/>
      <c r="Q43" s="349"/>
      <c r="R43" s="349"/>
      <c r="S43" s="356"/>
      <c r="T43" s="756">
        <f>SUM(B43,H43,D43,F43)</f>
        <v>1</v>
      </c>
      <c r="U43" s="585">
        <f>SUM(C43,E43,G43,I43,K43,N43,O43,M43,Q43,R43,S43)</f>
        <v>160.9</v>
      </c>
    </row>
    <row r="44" spans="1:21" ht="18" customHeight="1">
      <c r="A44" s="428" t="s">
        <v>62</v>
      </c>
      <c r="B44" s="571"/>
      <c r="C44" s="386"/>
      <c r="D44" s="573"/>
      <c r="E44" s="574"/>
      <c r="F44" s="571"/>
      <c r="G44" s="572"/>
      <c r="H44" s="573"/>
      <c r="I44" s="572"/>
      <c r="J44" s="573"/>
      <c r="K44" s="572"/>
      <c r="L44" s="572"/>
      <c r="M44" s="572"/>
      <c r="N44" s="572"/>
      <c r="O44" s="574"/>
      <c r="P44" s="571"/>
      <c r="Q44" s="573"/>
      <c r="R44" s="575"/>
      <c r="S44" s="576"/>
      <c r="T44" s="440"/>
      <c r="U44" s="386"/>
    </row>
    <row r="45" spans="1:21" ht="17.25" customHeight="1">
      <c r="A45" s="44" t="s">
        <v>144</v>
      </c>
      <c r="B45" s="340">
        <v>2</v>
      </c>
      <c r="C45" s="587">
        <v>270.8</v>
      </c>
      <c r="D45" s="47"/>
      <c r="E45" s="342"/>
      <c r="F45" s="340"/>
      <c r="G45" s="336"/>
      <c r="H45" s="47"/>
      <c r="I45" s="336"/>
      <c r="J45" s="47"/>
      <c r="K45" s="348"/>
      <c r="L45" s="348"/>
      <c r="M45" s="348"/>
      <c r="N45" s="47"/>
      <c r="O45" s="355"/>
      <c r="P45" s="340"/>
      <c r="Q45" s="348"/>
      <c r="R45" s="348"/>
      <c r="S45" s="355"/>
      <c r="T45" s="48">
        <f>SUM(B45,H45,D45,F45)</f>
        <v>2</v>
      </c>
      <c r="U45" s="585">
        <f>SUM(C45,E45,G45,I45,K45,N45,O45,Q45,R45,S45)</f>
        <v>270.8</v>
      </c>
    </row>
    <row r="46" spans="1:21" ht="17.25" customHeight="1">
      <c r="A46" s="44" t="s">
        <v>586</v>
      </c>
      <c r="B46" s="340">
        <v>1</v>
      </c>
      <c r="C46" s="587">
        <v>165</v>
      </c>
      <c r="D46" s="47"/>
      <c r="E46" s="342"/>
      <c r="F46" s="340"/>
      <c r="G46" s="336"/>
      <c r="H46" s="47"/>
      <c r="I46" s="336"/>
      <c r="J46" s="47"/>
      <c r="K46" s="348"/>
      <c r="L46" s="348"/>
      <c r="M46" s="348"/>
      <c r="N46" s="47"/>
      <c r="O46" s="355"/>
      <c r="P46" s="340"/>
      <c r="Q46" s="348"/>
      <c r="R46" s="348"/>
      <c r="S46" s="355"/>
      <c r="T46" s="48">
        <f aca="true" t="shared" si="4" ref="T46:T69">SUM(B46,H46,D46,F46)</f>
        <v>1</v>
      </c>
      <c r="U46" s="585">
        <f aca="true" t="shared" si="5" ref="U46:U69">SUM(C46,E46,G46,I46,K46,N46,O46,Q46,R46,S46)</f>
        <v>165</v>
      </c>
    </row>
    <row r="47" spans="1:21" ht="17.25" customHeight="1">
      <c r="A47" s="44" t="s">
        <v>345</v>
      </c>
      <c r="B47" s="340">
        <v>5</v>
      </c>
      <c r="C47" s="587">
        <v>744.6</v>
      </c>
      <c r="D47" s="47"/>
      <c r="E47" s="342"/>
      <c r="F47" s="340"/>
      <c r="G47" s="336"/>
      <c r="H47" s="47"/>
      <c r="I47" s="336"/>
      <c r="J47" s="47"/>
      <c r="K47" s="348"/>
      <c r="L47" s="348"/>
      <c r="M47" s="348"/>
      <c r="N47" s="47"/>
      <c r="O47" s="355"/>
      <c r="P47" s="340"/>
      <c r="Q47" s="348"/>
      <c r="R47" s="348"/>
      <c r="S47" s="355"/>
      <c r="T47" s="48">
        <f t="shared" si="4"/>
        <v>5</v>
      </c>
      <c r="U47" s="585">
        <f t="shared" si="5"/>
        <v>744.6</v>
      </c>
    </row>
    <row r="48" spans="1:21" ht="17.25" customHeight="1">
      <c r="A48" s="44" t="s">
        <v>354</v>
      </c>
      <c r="B48" s="340">
        <v>6</v>
      </c>
      <c r="C48" s="587">
        <v>941.4</v>
      </c>
      <c r="D48" s="47"/>
      <c r="E48" s="342"/>
      <c r="F48" s="340"/>
      <c r="G48" s="336"/>
      <c r="H48" s="47"/>
      <c r="I48" s="336"/>
      <c r="J48" s="47"/>
      <c r="K48" s="348"/>
      <c r="L48" s="348"/>
      <c r="M48" s="348"/>
      <c r="N48" s="47"/>
      <c r="O48" s="355"/>
      <c r="P48" s="340"/>
      <c r="Q48" s="348"/>
      <c r="R48" s="348"/>
      <c r="S48" s="355"/>
      <c r="T48" s="48">
        <f t="shared" si="4"/>
        <v>6</v>
      </c>
      <c r="U48" s="585">
        <f t="shared" si="5"/>
        <v>941.4</v>
      </c>
    </row>
    <row r="49" spans="1:21" ht="17.25" customHeight="1">
      <c r="A49" s="1099" t="s">
        <v>587</v>
      </c>
      <c r="B49" s="340">
        <v>3</v>
      </c>
      <c r="C49" s="587">
        <v>430.6</v>
      </c>
      <c r="D49" s="47"/>
      <c r="E49" s="342"/>
      <c r="F49" s="340"/>
      <c r="G49" s="336"/>
      <c r="H49" s="47"/>
      <c r="I49" s="336"/>
      <c r="J49" s="47"/>
      <c r="K49" s="348"/>
      <c r="L49" s="348"/>
      <c r="M49" s="348"/>
      <c r="N49" s="47"/>
      <c r="O49" s="355"/>
      <c r="P49" s="340"/>
      <c r="Q49" s="348"/>
      <c r="R49" s="348"/>
      <c r="S49" s="355"/>
      <c r="T49" s="48">
        <f t="shared" si="4"/>
        <v>3</v>
      </c>
      <c r="U49" s="585">
        <f t="shared" si="5"/>
        <v>430.6</v>
      </c>
    </row>
    <row r="50" spans="1:21" ht="17.25" customHeight="1">
      <c r="A50" s="44" t="s">
        <v>35</v>
      </c>
      <c r="B50" s="340">
        <v>4</v>
      </c>
      <c r="C50" s="587">
        <v>399.3</v>
      </c>
      <c r="D50" s="47"/>
      <c r="E50" s="342"/>
      <c r="F50" s="340">
        <f>ApV!D27</f>
        <v>0</v>
      </c>
      <c r="G50" s="47">
        <f>ApV!E27</f>
        <v>0</v>
      </c>
      <c r="H50" s="47">
        <f>ApV!F27</f>
        <v>0</v>
      </c>
      <c r="I50" s="47">
        <f>ApV!G27</f>
        <v>0</v>
      </c>
      <c r="J50" s="47">
        <f>ApV!H27</f>
        <v>3</v>
      </c>
      <c r="K50" s="348">
        <f>ApV!I27</f>
        <v>179</v>
      </c>
      <c r="L50" s="47">
        <f>ApV!J27</f>
        <v>0</v>
      </c>
      <c r="M50" s="47">
        <f>ApV!K27</f>
        <v>0</v>
      </c>
      <c r="N50" s="47">
        <f>ApV!L27</f>
        <v>0</v>
      </c>
      <c r="O50" s="355">
        <f>ApV!M27</f>
        <v>0</v>
      </c>
      <c r="P50" s="340"/>
      <c r="Q50" s="348"/>
      <c r="R50" s="348"/>
      <c r="S50" s="355"/>
      <c r="T50" s="48">
        <f t="shared" si="4"/>
        <v>4</v>
      </c>
      <c r="U50" s="585">
        <f t="shared" si="5"/>
        <v>578.3</v>
      </c>
    </row>
    <row r="51" spans="1:21" ht="17.25" customHeight="1">
      <c r="A51" s="44" t="s">
        <v>222</v>
      </c>
      <c r="B51" s="340"/>
      <c r="C51" s="587"/>
      <c r="D51" s="47"/>
      <c r="E51" s="342">
        <v>195.8</v>
      </c>
      <c r="F51" s="340"/>
      <c r="G51" s="47"/>
      <c r="H51" s="47"/>
      <c r="I51" s="47"/>
      <c r="J51" s="47"/>
      <c r="K51" s="47"/>
      <c r="L51" s="47"/>
      <c r="M51" s="47"/>
      <c r="N51" s="348"/>
      <c r="O51" s="355"/>
      <c r="P51" s="340"/>
      <c r="Q51" s="348"/>
      <c r="R51" s="348"/>
      <c r="S51" s="355"/>
      <c r="T51" s="48">
        <f t="shared" si="4"/>
        <v>0</v>
      </c>
      <c r="U51" s="585">
        <f t="shared" si="5"/>
        <v>195.8</v>
      </c>
    </row>
    <row r="52" spans="1:21" ht="17.25" customHeight="1">
      <c r="A52" s="44" t="s">
        <v>36</v>
      </c>
      <c r="B52" s="340">
        <v>4</v>
      </c>
      <c r="C52" s="587">
        <v>886.2</v>
      </c>
      <c r="D52" s="47"/>
      <c r="E52" s="342"/>
      <c r="F52" s="340"/>
      <c r="G52" s="336"/>
      <c r="H52" s="47"/>
      <c r="I52" s="336"/>
      <c r="J52" s="47"/>
      <c r="K52" s="336"/>
      <c r="L52" s="336"/>
      <c r="M52" s="336"/>
      <c r="N52" s="336"/>
      <c r="O52" s="342"/>
      <c r="P52" s="340"/>
      <c r="Q52" s="47"/>
      <c r="R52" s="348"/>
      <c r="S52" s="355"/>
      <c r="T52" s="48">
        <f t="shared" si="4"/>
        <v>4</v>
      </c>
      <c r="U52" s="585">
        <f t="shared" si="5"/>
        <v>886.2</v>
      </c>
    </row>
    <row r="53" spans="1:21" ht="17.25" customHeight="1">
      <c r="A53" s="44" t="s">
        <v>200</v>
      </c>
      <c r="B53" s="340">
        <v>4</v>
      </c>
      <c r="C53" s="587">
        <v>775.7</v>
      </c>
      <c r="D53" s="47">
        <v>1</v>
      </c>
      <c r="E53" s="342">
        <v>46.2</v>
      </c>
      <c r="F53" s="340"/>
      <c r="G53" s="336"/>
      <c r="H53" s="47"/>
      <c r="I53" s="336"/>
      <c r="J53" s="47"/>
      <c r="K53" s="336"/>
      <c r="L53" s="336"/>
      <c r="M53" s="336"/>
      <c r="N53" s="336"/>
      <c r="O53" s="342"/>
      <c r="P53" s="340"/>
      <c r="Q53" s="47"/>
      <c r="R53" s="348"/>
      <c r="S53" s="355"/>
      <c r="T53" s="48">
        <f t="shared" si="4"/>
        <v>5</v>
      </c>
      <c r="U53" s="585">
        <f t="shared" si="5"/>
        <v>821.9000000000001</v>
      </c>
    </row>
    <row r="54" spans="1:21" ht="17.25" customHeight="1">
      <c r="A54" s="44" t="s">
        <v>588</v>
      </c>
      <c r="B54" s="340">
        <v>1</v>
      </c>
      <c r="C54" s="587">
        <v>165</v>
      </c>
      <c r="D54" s="47"/>
      <c r="E54" s="342"/>
      <c r="F54" s="340"/>
      <c r="G54" s="336"/>
      <c r="H54" s="47"/>
      <c r="I54" s="336"/>
      <c r="J54" s="47"/>
      <c r="K54" s="336"/>
      <c r="L54" s="336"/>
      <c r="M54" s="336"/>
      <c r="N54" s="336"/>
      <c r="O54" s="342"/>
      <c r="P54" s="340"/>
      <c r="Q54" s="47"/>
      <c r="R54" s="348"/>
      <c r="S54" s="355"/>
      <c r="T54" s="48">
        <f t="shared" si="4"/>
        <v>1</v>
      </c>
      <c r="U54" s="585">
        <f t="shared" si="5"/>
        <v>165</v>
      </c>
    </row>
    <row r="55" spans="1:21" ht="17.25" customHeight="1">
      <c r="A55" s="44" t="s">
        <v>37</v>
      </c>
      <c r="B55" s="340">
        <v>7</v>
      </c>
      <c r="C55" s="587">
        <v>1056.5</v>
      </c>
      <c r="D55" s="47">
        <v>5</v>
      </c>
      <c r="E55" s="342">
        <v>522.3</v>
      </c>
      <c r="F55" s="340">
        <f>ApV!D36</f>
        <v>0</v>
      </c>
      <c r="G55" s="47">
        <f>ApV!E36</f>
        <v>0</v>
      </c>
      <c r="H55" s="47">
        <f>ApV!F36</f>
        <v>0</v>
      </c>
      <c r="I55" s="47">
        <f>ApV!G36</f>
        <v>0</v>
      </c>
      <c r="J55" s="47">
        <f>ApV!H36</f>
        <v>3</v>
      </c>
      <c r="K55" s="348">
        <f>ApV!I36</f>
        <v>272</v>
      </c>
      <c r="L55" s="47">
        <f>ApV!J36</f>
        <v>0</v>
      </c>
      <c r="M55" s="47">
        <f>ApV!K36</f>
        <v>0</v>
      </c>
      <c r="N55" s="47">
        <f>ApV!L36</f>
        <v>0</v>
      </c>
      <c r="O55" s="355">
        <f>ApV!M36</f>
        <v>0</v>
      </c>
      <c r="P55" s="340"/>
      <c r="Q55" s="47"/>
      <c r="R55" s="348"/>
      <c r="S55" s="355"/>
      <c r="T55" s="48">
        <f t="shared" si="4"/>
        <v>12</v>
      </c>
      <c r="U55" s="585">
        <f t="shared" si="5"/>
        <v>1850.8</v>
      </c>
    </row>
    <row r="56" spans="1:21" ht="17.25" customHeight="1">
      <c r="A56" s="44" t="s">
        <v>347</v>
      </c>
      <c r="B56" s="340">
        <v>4</v>
      </c>
      <c r="C56" s="587">
        <v>534.8</v>
      </c>
      <c r="D56" s="47"/>
      <c r="E56" s="342"/>
      <c r="F56" s="340"/>
      <c r="G56" s="336"/>
      <c r="H56" s="47"/>
      <c r="I56" s="336"/>
      <c r="J56" s="47"/>
      <c r="K56" s="336"/>
      <c r="L56" s="336"/>
      <c r="M56" s="336"/>
      <c r="N56" s="336"/>
      <c r="O56" s="342"/>
      <c r="P56" s="340"/>
      <c r="Q56" s="47"/>
      <c r="R56" s="348"/>
      <c r="S56" s="355"/>
      <c r="T56" s="48">
        <f t="shared" si="4"/>
        <v>4</v>
      </c>
      <c r="U56" s="585">
        <f t="shared" si="5"/>
        <v>534.8</v>
      </c>
    </row>
    <row r="57" spans="1:21" ht="17.25" customHeight="1">
      <c r="A57" s="44" t="s">
        <v>422</v>
      </c>
      <c r="B57" s="340">
        <v>2</v>
      </c>
      <c r="C57" s="587">
        <v>474.3</v>
      </c>
      <c r="D57" s="47"/>
      <c r="E57" s="342"/>
      <c r="F57" s="340"/>
      <c r="G57" s="336"/>
      <c r="H57" s="47"/>
      <c r="I57" s="336"/>
      <c r="J57" s="47"/>
      <c r="K57" s="336"/>
      <c r="L57" s="336"/>
      <c r="M57" s="336"/>
      <c r="N57" s="336"/>
      <c r="O57" s="342"/>
      <c r="P57" s="340"/>
      <c r="Q57" s="47"/>
      <c r="R57" s="348"/>
      <c r="S57" s="355"/>
      <c r="T57" s="48">
        <f t="shared" si="4"/>
        <v>2</v>
      </c>
      <c r="U57" s="585">
        <f t="shared" si="5"/>
        <v>474.3</v>
      </c>
    </row>
    <row r="58" spans="1:21" ht="17.25" customHeight="1">
      <c r="A58" s="44" t="s">
        <v>38</v>
      </c>
      <c r="B58" s="340">
        <v>8</v>
      </c>
      <c r="C58" s="587">
        <v>1088.4</v>
      </c>
      <c r="D58" s="47"/>
      <c r="E58" s="342">
        <v>406.4</v>
      </c>
      <c r="F58" s="340"/>
      <c r="G58" s="47"/>
      <c r="H58" s="47"/>
      <c r="I58" s="47"/>
      <c r="J58" s="47"/>
      <c r="K58" s="348"/>
      <c r="L58" s="348"/>
      <c r="M58" s="348"/>
      <c r="N58" s="348"/>
      <c r="O58" s="355"/>
      <c r="P58" s="340"/>
      <c r="Q58" s="47"/>
      <c r="R58" s="348"/>
      <c r="S58" s="355"/>
      <c r="T58" s="48">
        <f t="shared" si="4"/>
        <v>8</v>
      </c>
      <c r="U58" s="585">
        <f t="shared" si="5"/>
        <v>1494.8000000000002</v>
      </c>
    </row>
    <row r="59" spans="1:21" ht="17.25" customHeight="1">
      <c r="A59" s="44" t="s">
        <v>40</v>
      </c>
      <c r="B59" s="340">
        <v>4</v>
      </c>
      <c r="C59" s="587">
        <v>559.2</v>
      </c>
      <c r="D59" s="47"/>
      <c r="E59" s="342"/>
      <c r="F59" s="340"/>
      <c r="G59" s="47"/>
      <c r="H59" s="47"/>
      <c r="I59" s="47"/>
      <c r="J59" s="47"/>
      <c r="K59" s="348"/>
      <c r="L59" s="348"/>
      <c r="M59" s="348"/>
      <c r="N59" s="348"/>
      <c r="O59" s="355"/>
      <c r="P59" s="340"/>
      <c r="Q59" s="47"/>
      <c r="R59" s="348"/>
      <c r="S59" s="355"/>
      <c r="T59" s="48">
        <f t="shared" si="4"/>
        <v>4</v>
      </c>
      <c r="U59" s="585">
        <f t="shared" si="5"/>
        <v>559.2</v>
      </c>
    </row>
    <row r="60" spans="1:21" ht="17.25" customHeight="1">
      <c r="A60" s="44" t="s">
        <v>41</v>
      </c>
      <c r="B60" s="340">
        <v>1</v>
      </c>
      <c r="C60" s="587">
        <v>105.7</v>
      </c>
      <c r="D60" s="47"/>
      <c r="E60" s="342"/>
      <c r="F60" s="340"/>
      <c r="G60" s="47"/>
      <c r="H60" s="47"/>
      <c r="I60" s="47"/>
      <c r="J60" s="47"/>
      <c r="K60" s="348"/>
      <c r="L60" s="348"/>
      <c r="M60" s="348"/>
      <c r="N60" s="47"/>
      <c r="O60" s="355"/>
      <c r="P60" s="340"/>
      <c r="Q60" s="348"/>
      <c r="R60" s="348"/>
      <c r="S60" s="355"/>
      <c r="T60" s="48">
        <f t="shared" si="4"/>
        <v>1</v>
      </c>
      <c r="U60" s="585">
        <f t="shared" si="5"/>
        <v>105.7</v>
      </c>
    </row>
    <row r="61" spans="1:21" ht="17.25" customHeight="1">
      <c r="A61" s="44" t="s">
        <v>42</v>
      </c>
      <c r="B61" s="340">
        <v>6</v>
      </c>
      <c r="C61" s="587">
        <v>693</v>
      </c>
      <c r="D61" s="47">
        <v>1</v>
      </c>
      <c r="E61" s="342">
        <v>1465.5</v>
      </c>
      <c r="F61" s="340">
        <f>ApV!D78</f>
        <v>0</v>
      </c>
      <c r="G61" s="47">
        <f>ApV!E78</f>
        <v>0</v>
      </c>
      <c r="H61" s="47">
        <f>ApV!F78</f>
        <v>0</v>
      </c>
      <c r="I61" s="348">
        <f>ApV!G78</f>
        <v>187.5</v>
      </c>
      <c r="J61" s="47">
        <f>ApV!H78</f>
        <v>0</v>
      </c>
      <c r="K61" s="47">
        <f>ApV!I78</f>
        <v>0</v>
      </c>
      <c r="L61" s="47">
        <f>ApV!J78</f>
        <v>0</v>
      </c>
      <c r="M61" s="47">
        <f>ApV!K78</f>
        <v>0</v>
      </c>
      <c r="N61" s="47">
        <f>ApV!L78</f>
        <v>0</v>
      </c>
      <c r="O61" s="355">
        <f>ApV!M78</f>
        <v>0</v>
      </c>
      <c r="P61" s="340"/>
      <c r="Q61" s="47"/>
      <c r="R61" s="348"/>
      <c r="S61" s="355"/>
      <c r="T61" s="48">
        <f t="shared" si="4"/>
        <v>7</v>
      </c>
      <c r="U61" s="585">
        <f t="shared" si="5"/>
        <v>2346</v>
      </c>
    </row>
    <row r="62" spans="1:21" ht="17.25" customHeight="1">
      <c r="A62" s="44" t="s">
        <v>427</v>
      </c>
      <c r="B62" s="340">
        <v>1</v>
      </c>
      <c r="C62" s="587">
        <v>165</v>
      </c>
      <c r="D62" s="47"/>
      <c r="E62" s="342"/>
      <c r="F62" s="340"/>
      <c r="G62" s="47"/>
      <c r="H62" s="47"/>
      <c r="I62" s="348"/>
      <c r="J62" s="47"/>
      <c r="K62" s="47"/>
      <c r="L62" s="47"/>
      <c r="M62" s="47"/>
      <c r="N62" s="47"/>
      <c r="O62" s="355"/>
      <c r="P62" s="340"/>
      <c r="Q62" s="47"/>
      <c r="R62" s="348"/>
      <c r="S62" s="355"/>
      <c r="T62" s="48">
        <f t="shared" si="4"/>
        <v>1</v>
      </c>
      <c r="U62" s="585">
        <f t="shared" si="5"/>
        <v>165</v>
      </c>
    </row>
    <row r="63" spans="1:21" ht="17.25" customHeight="1">
      <c r="A63" s="44" t="s">
        <v>592</v>
      </c>
      <c r="B63" s="340">
        <v>3</v>
      </c>
      <c r="C63" s="587">
        <v>515</v>
      </c>
      <c r="D63" s="47"/>
      <c r="E63" s="342"/>
      <c r="F63" s="340"/>
      <c r="G63" s="47"/>
      <c r="H63" s="47"/>
      <c r="I63" s="348"/>
      <c r="J63" s="47"/>
      <c r="K63" s="47"/>
      <c r="L63" s="47"/>
      <c r="M63" s="47"/>
      <c r="N63" s="47"/>
      <c r="O63" s="355"/>
      <c r="P63" s="340"/>
      <c r="Q63" s="47"/>
      <c r="R63" s="348"/>
      <c r="S63" s="355"/>
      <c r="T63" s="48">
        <f t="shared" si="4"/>
        <v>3</v>
      </c>
      <c r="U63" s="585">
        <f t="shared" si="5"/>
        <v>515</v>
      </c>
    </row>
    <row r="64" spans="1:21" ht="17.25" customHeight="1">
      <c r="A64" s="44" t="s">
        <v>44</v>
      </c>
      <c r="B64" s="340">
        <v>3</v>
      </c>
      <c r="C64" s="587">
        <v>350.2</v>
      </c>
      <c r="D64" s="47"/>
      <c r="E64" s="342"/>
      <c r="F64" s="340">
        <f>ApV!D100</f>
        <v>7</v>
      </c>
      <c r="G64" s="348">
        <f>ApV!E100</f>
        <v>2173.1</v>
      </c>
      <c r="H64" s="47">
        <f>ApV!F100</f>
        <v>0</v>
      </c>
      <c r="I64" s="47">
        <f>ApV!G100</f>
        <v>0</v>
      </c>
      <c r="J64" s="47">
        <f>ApV!H100</f>
        <v>6</v>
      </c>
      <c r="K64" s="348">
        <f>ApV!I100</f>
        <v>1093.9</v>
      </c>
      <c r="L64" s="47">
        <f>ApV!J100</f>
        <v>0</v>
      </c>
      <c r="M64" s="47">
        <f>ApV!K100</f>
        <v>0</v>
      </c>
      <c r="N64" s="47">
        <f>ApV!L100</f>
        <v>0</v>
      </c>
      <c r="O64" s="355">
        <f>ApV!M100</f>
        <v>0</v>
      </c>
      <c r="P64" s="340"/>
      <c r="Q64" s="47"/>
      <c r="R64" s="348"/>
      <c r="S64" s="355"/>
      <c r="T64" s="48">
        <f t="shared" si="4"/>
        <v>10</v>
      </c>
      <c r="U64" s="585">
        <f t="shared" si="5"/>
        <v>3617.2</v>
      </c>
    </row>
    <row r="65" spans="1:21" ht="17.25" customHeight="1">
      <c r="A65" s="44" t="s">
        <v>180</v>
      </c>
      <c r="B65" s="340">
        <v>4</v>
      </c>
      <c r="C65" s="587">
        <v>422</v>
      </c>
      <c r="D65" s="47"/>
      <c r="E65" s="342"/>
      <c r="F65" s="340">
        <f>ApV!D103</f>
        <v>0</v>
      </c>
      <c r="G65" s="47">
        <f>ApV!E103</f>
        <v>0</v>
      </c>
      <c r="H65" s="47">
        <f>ApV!F103</f>
        <v>0</v>
      </c>
      <c r="I65" s="47">
        <f>ApV!G103</f>
        <v>0</v>
      </c>
      <c r="J65" s="47">
        <f>ApV!H103</f>
        <v>6</v>
      </c>
      <c r="K65" s="348">
        <f>ApV!I103</f>
        <v>1268.1</v>
      </c>
      <c r="L65" s="47">
        <f>ApV!J103</f>
        <v>0</v>
      </c>
      <c r="M65" s="47">
        <f>ApV!K103</f>
        <v>0</v>
      </c>
      <c r="N65" s="47">
        <f>ApV!L103</f>
        <v>0</v>
      </c>
      <c r="O65" s="355">
        <f>ApV!M103</f>
        <v>0</v>
      </c>
      <c r="P65" s="340"/>
      <c r="Q65" s="47"/>
      <c r="R65" s="348"/>
      <c r="S65" s="355"/>
      <c r="T65" s="48">
        <f t="shared" si="4"/>
        <v>4</v>
      </c>
      <c r="U65" s="585">
        <f t="shared" si="5"/>
        <v>1690.1</v>
      </c>
    </row>
    <row r="66" spans="1:21" ht="17.25" customHeight="1">
      <c r="A66" s="44" t="s">
        <v>45</v>
      </c>
      <c r="B66" s="340">
        <v>2</v>
      </c>
      <c r="C66" s="587">
        <v>263.2</v>
      </c>
      <c r="D66" s="47"/>
      <c r="E66" s="342"/>
      <c r="F66" s="340"/>
      <c r="G66" s="348"/>
      <c r="H66" s="47"/>
      <c r="I66" s="47"/>
      <c r="J66" s="47"/>
      <c r="K66" s="348"/>
      <c r="L66" s="348"/>
      <c r="M66" s="348"/>
      <c r="N66" s="348"/>
      <c r="O66" s="355"/>
      <c r="P66" s="340"/>
      <c r="Q66" s="47"/>
      <c r="R66" s="348"/>
      <c r="S66" s="355"/>
      <c r="T66" s="48">
        <f t="shared" si="4"/>
        <v>2</v>
      </c>
      <c r="U66" s="585">
        <f t="shared" si="5"/>
        <v>263.2</v>
      </c>
    </row>
    <row r="67" spans="1:21" ht="17.25" customHeight="1">
      <c r="A67" s="44" t="s">
        <v>142</v>
      </c>
      <c r="B67" s="340"/>
      <c r="C67" s="587"/>
      <c r="D67" s="47"/>
      <c r="E67" s="342">
        <v>583.2</v>
      </c>
      <c r="F67" s="340"/>
      <c r="G67" s="47"/>
      <c r="H67" s="47"/>
      <c r="I67" s="47"/>
      <c r="J67" s="47"/>
      <c r="K67" s="348"/>
      <c r="L67" s="348"/>
      <c r="M67" s="348"/>
      <c r="N67" s="47"/>
      <c r="O67" s="355"/>
      <c r="P67" s="340"/>
      <c r="Q67" s="348"/>
      <c r="R67" s="348"/>
      <c r="S67" s="355"/>
      <c r="T67" s="48">
        <f t="shared" si="4"/>
        <v>0</v>
      </c>
      <c r="U67" s="585">
        <f t="shared" si="5"/>
        <v>583.2</v>
      </c>
    </row>
    <row r="68" spans="1:21" ht="17.25" customHeight="1">
      <c r="A68" s="44" t="s">
        <v>46</v>
      </c>
      <c r="B68" s="340">
        <v>6</v>
      </c>
      <c r="C68" s="587">
        <v>776.8</v>
      </c>
      <c r="D68" s="47">
        <v>3</v>
      </c>
      <c r="E68" s="342">
        <v>717.1</v>
      </c>
      <c r="F68" s="340"/>
      <c r="G68" s="47"/>
      <c r="H68" s="47"/>
      <c r="I68" s="47"/>
      <c r="J68" s="47"/>
      <c r="K68" s="348"/>
      <c r="L68" s="348"/>
      <c r="M68" s="348"/>
      <c r="N68" s="348"/>
      <c r="O68" s="355"/>
      <c r="P68" s="340"/>
      <c r="Q68" s="348"/>
      <c r="R68" s="348"/>
      <c r="S68" s="355"/>
      <c r="T68" s="48">
        <f t="shared" si="4"/>
        <v>9</v>
      </c>
      <c r="U68" s="585">
        <f t="shared" si="5"/>
        <v>1493.9</v>
      </c>
    </row>
    <row r="69" spans="1:21" ht="17.25" customHeight="1">
      <c r="A69" s="44" t="s">
        <v>353</v>
      </c>
      <c r="B69" s="340">
        <v>4</v>
      </c>
      <c r="C69" s="587">
        <v>730.2</v>
      </c>
      <c r="D69" s="47"/>
      <c r="E69" s="342"/>
      <c r="F69" s="340"/>
      <c r="G69" s="47"/>
      <c r="H69" s="47"/>
      <c r="I69" s="47"/>
      <c r="J69" s="47"/>
      <c r="K69" s="348"/>
      <c r="L69" s="348"/>
      <c r="M69" s="348"/>
      <c r="N69" s="348"/>
      <c r="O69" s="355"/>
      <c r="P69" s="340"/>
      <c r="Q69" s="348"/>
      <c r="R69" s="348"/>
      <c r="S69" s="355"/>
      <c r="T69" s="48">
        <f t="shared" si="4"/>
        <v>4</v>
      </c>
      <c r="U69" s="585">
        <f t="shared" si="5"/>
        <v>730.2</v>
      </c>
    </row>
    <row r="70" spans="1:21" s="290" customFormat="1" ht="17.25" customHeight="1">
      <c r="A70" s="44" t="s">
        <v>47</v>
      </c>
      <c r="B70" s="340">
        <v>5</v>
      </c>
      <c r="C70" s="587">
        <v>507.3</v>
      </c>
      <c r="D70" s="47">
        <v>1</v>
      </c>
      <c r="E70" s="342">
        <v>2264.3</v>
      </c>
      <c r="F70" s="340"/>
      <c r="G70" s="336"/>
      <c r="H70" s="47"/>
      <c r="I70" s="336"/>
      <c r="J70" s="47"/>
      <c r="K70" s="348"/>
      <c r="L70" s="348"/>
      <c r="M70" s="348"/>
      <c r="N70" s="348"/>
      <c r="O70" s="355"/>
      <c r="P70" s="340"/>
      <c r="Q70" s="47"/>
      <c r="R70" s="348"/>
      <c r="S70" s="355"/>
      <c r="T70" s="969">
        <f>SUM(B70,H70,D70,F70)</f>
        <v>6</v>
      </c>
      <c r="U70" s="585">
        <f>SUM(C70,E70,G70,I70,K70,N70,O70,M70,Q70,R70,S70)</f>
        <v>2771.6000000000004</v>
      </c>
    </row>
    <row r="71" spans="1:21" s="290" customFormat="1" ht="17.25" customHeight="1">
      <c r="A71" s="46" t="s">
        <v>358</v>
      </c>
      <c r="B71" s="340">
        <v>1</v>
      </c>
      <c r="C71" s="587">
        <v>165</v>
      </c>
      <c r="D71" s="47"/>
      <c r="E71" s="336"/>
      <c r="F71" s="340"/>
      <c r="G71" s="336"/>
      <c r="H71" s="47"/>
      <c r="I71" s="336"/>
      <c r="J71" s="47"/>
      <c r="K71" s="348"/>
      <c r="L71" s="348"/>
      <c r="M71" s="348"/>
      <c r="N71" s="348"/>
      <c r="O71" s="355"/>
      <c r="P71" s="340"/>
      <c r="Q71" s="47"/>
      <c r="R71" s="348"/>
      <c r="S71" s="355"/>
      <c r="T71" s="969">
        <f>SUM(B71,H71,D71,F71)</f>
        <v>1</v>
      </c>
      <c r="U71" s="585">
        <f>SUM(C71,E71,G71,I71,K71,N71,O71,M71,Q71,R71,S71)</f>
        <v>165</v>
      </c>
    </row>
    <row r="72" spans="1:21" ht="18.75" customHeight="1">
      <c r="A72" s="428" t="s">
        <v>128</v>
      </c>
      <c r="B72" s="441"/>
      <c r="C72" s="443"/>
      <c r="D72" s="443"/>
      <c r="E72" s="443"/>
      <c r="F72" s="443"/>
      <c r="G72" s="443"/>
      <c r="H72" s="443"/>
      <c r="I72" s="442"/>
      <c r="J72" s="443"/>
      <c r="K72" s="442"/>
      <c r="L72" s="442"/>
      <c r="M72" s="442"/>
      <c r="N72" s="442"/>
      <c r="O72" s="444"/>
      <c r="P72" s="441"/>
      <c r="Q72" s="443"/>
      <c r="R72" s="445"/>
      <c r="S72" s="446"/>
      <c r="T72" s="440"/>
      <c r="U72" s="386"/>
    </row>
    <row r="73" spans="1:21" s="290" customFormat="1" ht="17.25" customHeight="1">
      <c r="A73" s="44" t="s">
        <v>343</v>
      </c>
      <c r="B73" s="340"/>
      <c r="C73" s="587"/>
      <c r="D73" s="47"/>
      <c r="E73" s="342"/>
      <c r="F73" s="340"/>
      <c r="G73" s="336"/>
      <c r="H73" s="47"/>
      <c r="I73" s="336"/>
      <c r="J73" s="47"/>
      <c r="K73" s="348"/>
      <c r="L73" s="348"/>
      <c r="M73" s="348"/>
      <c r="N73" s="348"/>
      <c r="O73" s="355"/>
      <c r="P73" s="340"/>
      <c r="Q73" s="47"/>
      <c r="R73" s="348"/>
      <c r="S73" s="355"/>
      <c r="T73" s="969">
        <f>SUM(B73,H73,D73,F73)</f>
        <v>0</v>
      </c>
      <c r="U73" s="585">
        <f>SUM(C73,E73,G73,I73,K73,N73,O73,M73,Q73,R73,S73)</f>
        <v>0</v>
      </c>
    </row>
    <row r="74" spans="1:21" s="290" customFormat="1" ht="17.25" customHeight="1">
      <c r="A74" s="46" t="s">
        <v>34</v>
      </c>
      <c r="B74" s="341">
        <v>1</v>
      </c>
      <c r="C74" s="588">
        <v>165</v>
      </c>
      <c r="D74" s="227"/>
      <c r="E74" s="343"/>
      <c r="F74" s="340"/>
      <c r="G74" s="336"/>
      <c r="H74" s="47"/>
      <c r="I74" s="336"/>
      <c r="J74" s="47"/>
      <c r="K74" s="348"/>
      <c r="L74" s="348"/>
      <c r="M74" s="348"/>
      <c r="N74" s="348"/>
      <c r="O74" s="355"/>
      <c r="P74" s="341"/>
      <c r="Q74" s="227"/>
      <c r="R74" s="349"/>
      <c r="S74" s="356"/>
      <c r="T74" s="969">
        <f>SUM(B74,H74,D74,F74)</f>
        <v>1</v>
      </c>
      <c r="U74" s="585">
        <f>SUM(C74,E74,G74,I74,K74,N74,O74,M74,Q74,R74,S74)</f>
        <v>165</v>
      </c>
    </row>
    <row r="75" spans="1:21" ht="18.75" customHeight="1">
      <c r="A75" s="428" t="s">
        <v>129</v>
      </c>
      <c r="B75" s="441"/>
      <c r="C75" s="389"/>
      <c r="D75" s="443"/>
      <c r="E75" s="444"/>
      <c r="F75" s="441"/>
      <c r="G75" s="442"/>
      <c r="H75" s="443"/>
      <c r="I75" s="442"/>
      <c r="J75" s="443"/>
      <c r="K75" s="442"/>
      <c r="L75" s="442"/>
      <c r="M75" s="442"/>
      <c r="N75" s="442"/>
      <c r="O75" s="444"/>
      <c r="P75" s="441"/>
      <c r="Q75" s="443"/>
      <c r="R75" s="445"/>
      <c r="S75" s="446"/>
      <c r="T75" s="440"/>
      <c r="U75" s="386"/>
    </row>
    <row r="76" spans="1:21" ht="18.75" customHeight="1">
      <c r="A76" s="44" t="s">
        <v>146</v>
      </c>
      <c r="B76" s="340"/>
      <c r="C76" s="587"/>
      <c r="D76" s="47"/>
      <c r="E76" s="342"/>
      <c r="F76" s="340">
        <f>ApV!D6</f>
        <v>0</v>
      </c>
      <c r="G76" s="47">
        <f>ApV!E6</f>
        <v>0</v>
      </c>
      <c r="H76" s="47">
        <f>ApV!F6</f>
        <v>0</v>
      </c>
      <c r="I76" s="47">
        <f>ApV!G6</f>
        <v>0</v>
      </c>
      <c r="J76" s="47">
        <f>ApV!H6</f>
        <v>3</v>
      </c>
      <c r="K76" s="348">
        <f>ApV!I6</f>
        <v>125.2</v>
      </c>
      <c r="L76" s="47">
        <f>ApV!J6</f>
        <v>0</v>
      </c>
      <c r="M76" s="47">
        <f>ApV!K6</f>
        <v>0</v>
      </c>
      <c r="N76" s="47">
        <f>ApV!L6</f>
        <v>0</v>
      </c>
      <c r="O76" s="355">
        <f>ApV!M6</f>
        <v>0</v>
      </c>
      <c r="P76" s="340"/>
      <c r="Q76" s="47"/>
      <c r="R76" s="348"/>
      <c r="S76" s="355"/>
      <c r="T76" s="969">
        <f>SUM(B76,H76,D76,F76)</f>
        <v>0</v>
      </c>
      <c r="U76" s="585">
        <f>SUM(C76,E76,G76,I76,K76,N76,O76,M76,Q76,R76,S76)</f>
        <v>125.2</v>
      </c>
    </row>
    <row r="77" spans="1:21" ht="18.75" customHeight="1">
      <c r="A77" s="44" t="s">
        <v>263</v>
      </c>
      <c r="B77" s="340">
        <v>2</v>
      </c>
      <c r="C77" s="587">
        <v>11.4</v>
      </c>
      <c r="D77" s="47"/>
      <c r="E77" s="342"/>
      <c r="F77" s="340"/>
      <c r="G77" s="47"/>
      <c r="H77" s="47"/>
      <c r="I77" s="47"/>
      <c r="J77" s="47"/>
      <c r="K77" s="348"/>
      <c r="L77" s="47"/>
      <c r="M77" s="47"/>
      <c r="N77" s="47"/>
      <c r="O77" s="355"/>
      <c r="P77" s="340"/>
      <c r="Q77" s="47"/>
      <c r="R77" s="348"/>
      <c r="S77" s="355"/>
      <c r="T77" s="969">
        <f>SUM(B77,H77,D77,F77)</f>
        <v>2</v>
      </c>
      <c r="U77" s="585">
        <f>SUM(C77,E77,G77,I77,K77,N77,O77,M77,Q77,R77,S77)</f>
        <v>11.4</v>
      </c>
    </row>
    <row r="78" spans="1:21" ht="17.25" customHeight="1">
      <c r="A78" s="44" t="s">
        <v>213</v>
      </c>
      <c r="B78" s="340">
        <v>6</v>
      </c>
      <c r="C78" s="587">
        <v>34.2</v>
      </c>
      <c r="D78" s="47"/>
      <c r="E78" s="342"/>
      <c r="F78" s="340"/>
      <c r="G78" s="336"/>
      <c r="H78" s="47"/>
      <c r="I78" s="336"/>
      <c r="J78" s="47"/>
      <c r="K78" s="336"/>
      <c r="L78" s="336"/>
      <c r="M78" s="336"/>
      <c r="N78" s="336"/>
      <c r="O78" s="342"/>
      <c r="P78" s="340"/>
      <c r="Q78" s="348"/>
      <c r="R78" s="348"/>
      <c r="S78" s="355"/>
      <c r="T78" s="969">
        <f aca="true" t="shared" si="6" ref="T78:T83">SUM(B78,H78,D78,F78)</f>
        <v>6</v>
      </c>
      <c r="U78" s="585">
        <f aca="true" t="shared" si="7" ref="U78:U83">SUM(C78,E78,G78,I78,K78,N78,O78,M78,Q78,R78,S78)</f>
        <v>34.2</v>
      </c>
    </row>
    <row r="79" spans="1:21" ht="17.25" customHeight="1">
      <c r="A79" s="44" t="s">
        <v>346</v>
      </c>
      <c r="B79" s="340">
        <v>2</v>
      </c>
      <c r="C79" s="587">
        <v>330</v>
      </c>
      <c r="D79" s="47"/>
      <c r="E79" s="342"/>
      <c r="F79" s="340"/>
      <c r="G79" s="336"/>
      <c r="H79" s="47"/>
      <c r="I79" s="336"/>
      <c r="J79" s="47"/>
      <c r="K79" s="336"/>
      <c r="L79" s="336"/>
      <c r="M79" s="336"/>
      <c r="N79" s="336"/>
      <c r="O79" s="342"/>
      <c r="P79" s="340"/>
      <c r="Q79" s="47"/>
      <c r="R79" s="348"/>
      <c r="S79" s="355"/>
      <c r="T79" s="969">
        <f t="shared" si="6"/>
        <v>2</v>
      </c>
      <c r="U79" s="585">
        <f t="shared" si="7"/>
        <v>330</v>
      </c>
    </row>
    <row r="80" spans="1:21" ht="17.25" customHeight="1">
      <c r="A80" s="210" t="s">
        <v>164</v>
      </c>
      <c r="B80" s="340">
        <v>2</v>
      </c>
      <c r="C80" s="587">
        <v>330</v>
      </c>
      <c r="D80" s="47"/>
      <c r="E80" s="342"/>
      <c r="F80" s="340"/>
      <c r="G80" s="336"/>
      <c r="H80" s="47"/>
      <c r="I80" s="336"/>
      <c r="J80" s="47"/>
      <c r="K80" s="336"/>
      <c r="L80" s="336"/>
      <c r="M80" s="336"/>
      <c r="N80" s="336"/>
      <c r="O80" s="342"/>
      <c r="P80" s="340"/>
      <c r="Q80" s="47"/>
      <c r="R80" s="348"/>
      <c r="S80" s="355"/>
      <c r="T80" s="969">
        <f t="shared" si="6"/>
        <v>2</v>
      </c>
      <c r="U80" s="585">
        <f t="shared" si="7"/>
        <v>330</v>
      </c>
    </row>
    <row r="81" spans="1:21" s="211" customFormat="1" ht="17.25" customHeight="1">
      <c r="A81" s="210" t="s">
        <v>52</v>
      </c>
      <c r="B81" s="340">
        <v>2</v>
      </c>
      <c r="C81" s="587">
        <v>398.4</v>
      </c>
      <c r="D81" s="47"/>
      <c r="E81" s="342"/>
      <c r="F81" s="340"/>
      <c r="G81" s="348"/>
      <c r="H81" s="47"/>
      <c r="I81" s="47"/>
      <c r="J81" s="47"/>
      <c r="K81" s="348"/>
      <c r="L81" s="348"/>
      <c r="M81" s="348"/>
      <c r="N81" s="47"/>
      <c r="O81" s="355"/>
      <c r="P81" s="340"/>
      <c r="Q81" s="47"/>
      <c r="R81" s="348"/>
      <c r="S81" s="355"/>
      <c r="T81" s="969">
        <f t="shared" si="6"/>
        <v>2</v>
      </c>
      <c r="U81" s="585">
        <f t="shared" si="7"/>
        <v>398.4</v>
      </c>
    </row>
    <row r="82" spans="1:21" s="211" customFormat="1" ht="17.25" customHeight="1">
      <c r="A82" s="1110" t="s">
        <v>593</v>
      </c>
      <c r="B82" s="340">
        <v>5</v>
      </c>
      <c r="C82" s="587">
        <v>28.5</v>
      </c>
      <c r="D82" s="47"/>
      <c r="E82" s="342"/>
      <c r="F82" s="340"/>
      <c r="G82" s="348"/>
      <c r="H82" s="47"/>
      <c r="I82" s="47"/>
      <c r="J82" s="47"/>
      <c r="K82" s="348"/>
      <c r="L82" s="348"/>
      <c r="M82" s="348"/>
      <c r="N82" s="47"/>
      <c r="O82" s="355"/>
      <c r="P82" s="47"/>
      <c r="Q82" s="47"/>
      <c r="R82" s="348"/>
      <c r="S82" s="355"/>
      <c r="T82" s="48">
        <f t="shared" si="6"/>
        <v>5</v>
      </c>
      <c r="U82" s="585">
        <f t="shared" si="7"/>
        <v>28.5</v>
      </c>
    </row>
    <row r="83" spans="1:21" s="211" customFormat="1" ht="17.25" customHeight="1" thickBot="1">
      <c r="A83" s="579" t="s">
        <v>594</v>
      </c>
      <c r="B83" s="340">
        <v>2</v>
      </c>
      <c r="C83" s="587">
        <v>330</v>
      </c>
      <c r="D83" s="47"/>
      <c r="E83" s="342"/>
      <c r="F83" s="340"/>
      <c r="G83" s="348"/>
      <c r="H83" s="47"/>
      <c r="I83" s="47"/>
      <c r="J83" s="47"/>
      <c r="K83" s="348"/>
      <c r="L83" s="348"/>
      <c r="M83" s="348"/>
      <c r="N83" s="47"/>
      <c r="O83" s="355"/>
      <c r="P83" s="47"/>
      <c r="Q83" s="47"/>
      <c r="R83" s="348"/>
      <c r="S83" s="355"/>
      <c r="T83" s="48">
        <f t="shared" si="6"/>
        <v>2</v>
      </c>
      <c r="U83" s="585">
        <f t="shared" si="7"/>
        <v>330</v>
      </c>
    </row>
    <row r="84" spans="1:21" s="581" customFormat="1" ht="17.25" customHeight="1" thickBot="1">
      <c r="A84" s="580" t="s">
        <v>53</v>
      </c>
      <c r="B84" s="810">
        <f aca="true" t="shared" si="8" ref="B84:U84">SUM(B6:B83)</f>
        <v>585</v>
      </c>
      <c r="C84" s="848">
        <f t="shared" si="8"/>
        <v>53180.700000000004</v>
      </c>
      <c r="D84" s="849">
        <f t="shared" si="8"/>
        <v>105</v>
      </c>
      <c r="E84" s="850">
        <f t="shared" si="8"/>
        <v>71183.29999999999</v>
      </c>
      <c r="F84" s="810">
        <f t="shared" si="8"/>
        <v>802</v>
      </c>
      <c r="G84" s="848">
        <f t="shared" si="8"/>
        <v>54377.900000000016</v>
      </c>
      <c r="H84" s="849">
        <f t="shared" si="8"/>
        <v>34</v>
      </c>
      <c r="I84" s="850">
        <f t="shared" si="8"/>
        <v>20052.192799999997</v>
      </c>
      <c r="J84" s="810">
        <f t="shared" si="8"/>
        <v>191</v>
      </c>
      <c r="K84" s="848">
        <f t="shared" si="8"/>
        <v>18238.588</v>
      </c>
      <c r="L84" s="810">
        <f t="shared" si="8"/>
        <v>24</v>
      </c>
      <c r="M84" s="848">
        <f t="shared" si="8"/>
        <v>6828.5</v>
      </c>
      <c r="N84" s="848">
        <f t="shared" si="8"/>
        <v>50571.39025</v>
      </c>
      <c r="O84" s="850">
        <f t="shared" si="8"/>
        <v>61476.9</v>
      </c>
      <c r="P84" s="810">
        <f t="shared" si="8"/>
        <v>0</v>
      </c>
      <c r="Q84" s="848">
        <f t="shared" si="8"/>
        <v>0</v>
      </c>
      <c r="R84" s="848">
        <f t="shared" si="8"/>
        <v>2088.4</v>
      </c>
      <c r="S84" s="811">
        <f t="shared" si="8"/>
        <v>0</v>
      </c>
      <c r="T84" s="359">
        <f t="shared" si="8"/>
        <v>1526</v>
      </c>
      <c r="U84" s="586">
        <f t="shared" si="8"/>
        <v>337997.87105000013</v>
      </c>
    </row>
    <row r="85" spans="1:21" s="49" customFormat="1" ht="17.25" customHeight="1">
      <c r="A85" s="9" t="s">
        <v>130</v>
      </c>
      <c r="B85" s="45"/>
      <c r="C85" s="337"/>
      <c r="D85" s="45"/>
      <c r="E85" s="337"/>
      <c r="F85" s="337"/>
      <c r="G85" s="337"/>
      <c r="H85" s="45"/>
      <c r="I85" s="337"/>
      <c r="J85" s="45"/>
      <c r="K85" s="337"/>
      <c r="L85" s="337"/>
      <c r="M85" s="337"/>
      <c r="N85" s="337"/>
      <c r="O85" s="337"/>
      <c r="P85" s="45"/>
      <c r="Q85" s="45"/>
      <c r="R85" s="350"/>
      <c r="S85" s="45"/>
      <c r="T85" s="45"/>
      <c r="U85" s="337"/>
    </row>
    <row r="86" spans="1:21" s="52" customFormat="1" ht="17.25" customHeight="1">
      <c r="A86" s="50" t="s">
        <v>147</v>
      </c>
      <c r="B86" s="53"/>
      <c r="C86" s="338"/>
      <c r="D86" s="53"/>
      <c r="E86" s="338"/>
      <c r="F86" s="338"/>
      <c r="G86" s="338"/>
      <c r="H86" s="53"/>
      <c r="I86" s="338"/>
      <c r="J86" s="53"/>
      <c r="K86" s="338"/>
      <c r="L86" s="338"/>
      <c r="M86" s="338"/>
      <c r="N86" s="338"/>
      <c r="O86" s="338"/>
      <c r="P86" s="53"/>
      <c r="Q86" s="53"/>
      <c r="R86" s="351"/>
      <c r="S86" s="53"/>
      <c r="T86" s="53"/>
      <c r="U86" s="338"/>
    </row>
    <row r="87" spans="1:21" s="49" customFormat="1" ht="15.75" customHeight="1">
      <c r="A87" s="50"/>
      <c r="B87" s="51"/>
      <c r="C87" s="339"/>
      <c r="D87" s="51"/>
      <c r="E87" s="339"/>
      <c r="F87" s="339"/>
      <c r="G87" s="339"/>
      <c r="H87" s="51"/>
      <c r="I87" s="339"/>
      <c r="J87" s="51"/>
      <c r="K87" s="339"/>
      <c r="L87" s="339"/>
      <c r="M87" s="339"/>
      <c r="N87" s="339"/>
      <c r="O87" s="339"/>
      <c r="P87" s="51"/>
      <c r="Q87" s="51"/>
      <c r="R87" s="352"/>
      <c r="S87" s="120"/>
      <c r="T87" s="54"/>
      <c r="U87" s="347"/>
    </row>
    <row r="88" spans="3:21" s="120" customFormat="1" ht="15.75" customHeight="1">
      <c r="C88" s="295"/>
      <c r="E88" s="295"/>
      <c r="F88" s="295"/>
      <c r="G88" s="295"/>
      <c r="I88" s="295"/>
      <c r="K88" s="295"/>
      <c r="L88" s="295"/>
      <c r="M88" s="295"/>
      <c r="N88" s="295"/>
      <c r="O88" s="295"/>
      <c r="R88" s="353"/>
      <c r="T88" s="54"/>
      <c r="U88" s="347"/>
    </row>
    <row r="89" spans="3:21" s="120" customFormat="1" ht="15.75" customHeight="1">
      <c r="C89" s="295"/>
      <c r="E89" s="295"/>
      <c r="F89" s="295"/>
      <c r="G89" s="295"/>
      <c r="I89" s="295"/>
      <c r="K89" s="295"/>
      <c r="L89" s="295"/>
      <c r="M89" s="295"/>
      <c r="N89" s="295"/>
      <c r="O89" s="295"/>
      <c r="R89" s="353"/>
      <c r="T89" s="54"/>
      <c r="U89" s="347"/>
    </row>
    <row r="90" spans="3:21" s="120" customFormat="1" ht="18" customHeight="1">
      <c r="C90" s="295"/>
      <c r="E90" s="295"/>
      <c r="F90" s="295"/>
      <c r="G90" s="295"/>
      <c r="I90" s="295"/>
      <c r="K90" s="295"/>
      <c r="L90" s="295"/>
      <c r="M90" s="295"/>
      <c r="N90" s="295"/>
      <c r="O90" s="295"/>
      <c r="R90" s="353"/>
      <c r="U90" s="295"/>
    </row>
    <row r="91" spans="3:21" s="120" customFormat="1" ht="18" customHeight="1">
      <c r="C91" s="295"/>
      <c r="E91" s="295"/>
      <c r="F91" s="295"/>
      <c r="G91" s="295"/>
      <c r="I91" s="295"/>
      <c r="K91" s="295"/>
      <c r="L91" s="295"/>
      <c r="M91" s="295"/>
      <c r="N91" s="295"/>
      <c r="O91" s="295"/>
      <c r="R91" s="353"/>
      <c r="U91" s="295"/>
    </row>
    <row r="92" spans="3:21" s="120" customFormat="1" ht="18" customHeight="1">
      <c r="C92" s="295"/>
      <c r="E92" s="295"/>
      <c r="F92" s="295"/>
      <c r="G92" s="295"/>
      <c r="I92" s="295"/>
      <c r="K92" s="295"/>
      <c r="L92" s="295"/>
      <c r="M92" s="295"/>
      <c r="N92" s="295"/>
      <c r="O92" s="295"/>
      <c r="R92" s="353"/>
      <c r="U92" s="295"/>
    </row>
    <row r="93" spans="3:21" s="120" customFormat="1" ht="16.5" customHeight="1">
      <c r="C93" s="295"/>
      <c r="E93" s="295"/>
      <c r="F93" s="295"/>
      <c r="G93" s="295"/>
      <c r="I93" s="295"/>
      <c r="K93" s="295"/>
      <c r="L93" s="295"/>
      <c r="M93" s="295"/>
      <c r="N93" s="295"/>
      <c r="O93" s="295"/>
      <c r="R93" s="353"/>
      <c r="U93" s="295"/>
    </row>
    <row r="94" spans="3:21" s="120" customFormat="1" ht="16.5" customHeight="1">
      <c r="C94" s="295"/>
      <c r="E94" s="295"/>
      <c r="F94" s="295"/>
      <c r="G94" s="295"/>
      <c r="I94" s="295"/>
      <c r="K94" s="295"/>
      <c r="L94" s="295"/>
      <c r="M94" s="295"/>
      <c r="N94" s="295"/>
      <c r="O94" s="295"/>
      <c r="R94" s="353"/>
      <c r="U94" s="295"/>
    </row>
    <row r="95" spans="3:21" s="120" customFormat="1" ht="16.5" customHeight="1">
      <c r="C95" s="295"/>
      <c r="E95" s="295"/>
      <c r="F95" s="295"/>
      <c r="G95" s="295"/>
      <c r="I95" s="295"/>
      <c r="K95" s="295"/>
      <c r="L95" s="295"/>
      <c r="M95" s="295"/>
      <c r="N95" s="295"/>
      <c r="O95" s="295"/>
      <c r="R95" s="353"/>
      <c r="U95" s="295"/>
    </row>
    <row r="96" spans="3:21" s="120" customFormat="1" ht="16.5" customHeight="1">
      <c r="C96" s="295"/>
      <c r="E96" s="295"/>
      <c r="F96" s="295"/>
      <c r="G96" s="295"/>
      <c r="I96" s="295"/>
      <c r="K96" s="295"/>
      <c r="L96" s="295"/>
      <c r="M96" s="295"/>
      <c r="N96" s="295"/>
      <c r="O96" s="295"/>
      <c r="R96" s="353"/>
      <c r="U96" s="295"/>
    </row>
    <row r="97" spans="3:21" s="120" customFormat="1" ht="16.5" customHeight="1">
      <c r="C97" s="295"/>
      <c r="E97" s="295"/>
      <c r="F97" s="295"/>
      <c r="G97" s="295"/>
      <c r="I97" s="295"/>
      <c r="K97" s="295"/>
      <c r="L97" s="295"/>
      <c r="M97" s="295"/>
      <c r="N97" s="295"/>
      <c r="O97" s="295"/>
      <c r="R97" s="353"/>
      <c r="U97" s="295"/>
    </row>
    <row r="98" spans="3:21" s="120" customFormat="1" ht="16.5" customHeight="1">
      <c r="C98" s="295"/>
      <c r="E98" s="295"/>
      <c r="F98" s="295"/>
      <c r="G98" s="295"/>
      <c r="I98" s="295"/>
      <c r="K98" s="295"/>
      <c r="L98" s="295"/>
      <c r="M98" s="295"/>
      <c r="N98" s="295"/>
      <c r="O98" s="295"/>
      <c r="R98" s="353"/>
      <c r="U98" s="295"/>
    </row>
    <row r="99" spans="3:21" s="120" customFormat="1" ht="16.5" customHeight="1">
      <c r="C99" s="295"/>
      <c r="E99" s="295"/>
      <c r="F99" s="295"/>
      <c r="G99" s="295"/>
      <c r="I99" s="295"/>
      <c r="K99" s="295"/>
      <c r="L99" s="295"/>
      <c r="M99" s="295"/>
      <c r="N99" s="295"/>
      <c r="O99" s="295"/>
      <c r="R99" s="353"/>
      <c r="U99" s="295"/>
    </row>
    <row r="100" spans="3:21" s="120" customFormat="1" ht="16.5" customHeight="1">
      <c r="C100" s="295"/>
      <c r="E100" s="295"/>
      <c r="F100" s="295"/>
      <c r="G100" s="295"/>
      <c r="I100" s="295"/>
      <c r="K100" s="295"/>
      <c r="L100" s="295"/>
      <c r="M100" s="295"/>
      <c r="N100" s="295"/>
      <c r="O100" s="295"/>
      <c r="R100" s="353"/>
      <c r="U100" s="295"/>
    </row>
    <row r="101" spans="3:21" s="120" customFormat="1" ht="17.25" customHeight="1">
      <c r="C101" s="295"/>
      <c r="E101" s="295"/>
      <c r="F101" s="295"/>
      <c r="G101" s="295"/>
      <c r="I101" s="295"/>
      <c r="K101" s="295"/>
      <c r="L101" s="295"/>
      <c r="M101" s="295"/>
      <c r="N101" s="295"/>
      <c r="O101" s="295"/>
      <c r="R101" s="353"/>
      <c r="U101" s="295"/>
    </row>
    <row r="102" spans="3:21" s="120" customFormat="1" ht="17.25" customHeight="1">
      <c r="C102" s="295"/>
      <c r="E102" s="295"/>
      <c r="F102" s="295"/>
      <c r="G102" s="295"/>
      <c r="I102" s="295"/>
      <c r="K102" s="295"/>
      <c r="L102" s="295"/>
      <c r="M102" s="295"/>
      <c r="N102" s="295"/>
      <c r="O102" s="295"/>
      <c r="R102" s="353"/>
      <c r="U102" s="295"/>
    </row>
    <row r="103" spans="3:21" s="120" customFormat="1" ht="17.25" customHeight="1">
      <c r="C103" s="295"/>
      <c r="E103" s="295"/>
      <c r="F103" s="295"/>
      <c r="G103" s="295"/>
      <c r="I103" s="295"/>
      <c r="K103" s="295"/>
      <c r="L103" s="295"/>
      <c r="M103" s="295"/>
      <c r="N103" s="295"/>
      <c r="O103" s="295"/>
      <c r="R103" s="353"/>
      <c r="U103" s="295"/>
    </row>
    <row r="104" spans="3:21" s="120" customFormat="1" ht="17.25" customHeight="1">
      <c r="C104" s="295"/>
      <c r="E104" s="295"/>
      <c r="F104" s="295"/>
      <c r="G104" s="295"/>
      <c r="I104" s="295"/>
      <c r="K104" s="295"/>
      <c r="L104" s="295"/>
      <c r="M104" s="295"/>
      <c r="N104" s="295"/>
      <c r="O104" s="295"/>
      <c r="R104" s="353"/>
      <c r="U104" s="295"/>
    </row>
    <row r="105" spans="3:21" s="120" customFormat="1" ht="16.5" customHeight="1">
      <c r="C105" s="295"/>
      <c r="E105" s="295"/>
      <c r="F105" s="295"/>
      <c r="G105" s="295"/>
      <c r="I105" s="295"/>
      <c r="K105" s="295"/>
      <c r="L105" s="295"/>
      <c r="M105" s="295"/>
      <c r="N105" s="295"/>
      <c r="O105" s="295"/>
      <c r="R105" s="353"/>
      <c r="U105" s="295"/>
    </row>
    <row r="106" spans="3:21" s="120" customFormat="1" ht="16.5" customHeight="1">
      <c r="C106" s="295"/>
      <c r="E106" s="295"/>
      <c r="F106" s="295"/>
      <c r="G106" s="295"/>
      <c r="I106" s="295"/>
      <c r="K106" s="295"/>
      <c r="L106" s="295"/>
      <c r="M106" s="295"/>
      <c r="N106" s="295"/>
      <c r="O106" s="295"/>
      <c r="R106" s="353"/>
      <c r="U106" s="295"/>
    </row>
    <row r="107" spans="3:21" s="120" customFormat="1" ht="16.5" customHeight="1">
      <c r="C107" s="295"/>
      <c r="E107" s="295"/>
      <c r="F107" s="295"/>
      <c r="G107" s="295"/>
      <c r="I107" s="295"/>
      <c r="K107" s="295"/>
      <c r="L107" s="295"/>
      <c r="M107" s="295"/>
      <c r="N107" s="295"/>
      <c r="O107" s="295"/>
      <c r="R107" s="353"/>
      <c r="U107" s="295"/>
    </row>
    <row r="108" spans="3:21" s="120" customFormat="1" ht="16.5" customHeight="1">
      <c r="C108" s="295"/>
      <c r="E108" s="295"/>
      <c r="F108" s="295"/>
      <c r="G108" s="295"/>
      <c r="I108" s="295"/>
      <c r="K108" s="295"/>
      <c r="L108" s="295"/>
      <c r="M108" s="295"/>
      <c r="N108" s="295"/>
      <c r="O108" s="295"/>
      <c r="R108" s="353"/>
      <c r="U108" s="295"/>
    </row>
    <row r="109" spans="3:21" s="120" customFormat="1" ht="16.5" customHeight="1">
      <c r="C109" s="295"/>
      <c r="E109" s="295"/>
      <c r="F109" s="295"/>
      <c r="G109" s="295"/>
      <c r="I109" s="295"/>
      <c r="K109" s="295"/>
      <c r="L109" s="295"/>
      <c r="M109" s="295"/>
      <c r="N109" s="295"/>
      <c r="O109" s="295"/>
      <c r="R109" s="353"/>
      <c r="U109" s="295"/>
    </row>
    <row r="110" spans="3:21" s="120" customFormat="1" ht="16.5" customHeight="1">
      <c r="C110" s="295"/>
      <c r="E110" s="295"/>
      <c r="F110" s="295"/>
      <c r="G110" s="295"/>
      <c r="I110" s="295"/>
      <c r="K110" s="295"/>
      <c r="L110" s="295"/>
      <c r="M110" s="295"/>
      <c r="N110" s="295"/>
      <c r="O110" s="295"/>
      <c r="R110" s="353"/>
      <c r="U110" s="295"/>
    </row>
    <row r="111" spans="3:21" s="120" customFormat="1" ht="18" customHeight="1">
      <c r="C111" s="295"/>
      <c r="E111" s="295"/>
      <c r="F111" s="295"/>
      <c r="G111" s="295"/>
      <c r="I111" s="295"/>
      <c r="K111" s="295"/>
      <c r="L111" s="295"/>
      <c r="M111" s="295"/>
      <c r="N111" s="295"/>
      <c r="O111" s="295"/>
      <c r="R111" s="353"/>
      <c r="U111" s="295"/>
    </row>
    <row r="112" spans="3:21" s="120" customFormat="1" ht="18" customHeight="1">
      <c r="C112" s="295"/>
      <c r="E112" s="295"/>
      <c r="F112" s="295"/>
      <c r="G112" s="295"/>
      <c r="I112" s="295"/>
      <c r="K112" s="295"/>
      <c r="L112" s="295"/>
      <c r="M112" s="295"/>
      <c r="N112" s="295"/>
      <c r="O112" s="295"/>
      <c r="R112" s="353"/>
      <c r="U112" s="295"/>
    </row>
    <row r="113" spans="3:21" s="120" customFormat="1" ht="18" customHeight="1">
      <c r="C113" s="295"/>
      <c r="E113" s="295"/>
      <c r="F113" s="295"/>
      <c r="G113" s="295"/>
      <c r="I113" s="295"/>
      <c r="K113" s="295"/>
      <c r="L113" s="295"/>
      <c r="M113" s="295"/>
      <c r="N113" s="295"/>
      <c r="O113" s="295"/>
      <c r="R113" s="353"/>
      <c r="U113" s="295"/>
    </row>
    <row r="114" spans="3:21" s="120" customFormat="1" ht="18" customHeight="1">
      <c r="C114" s="295"/>
      <c r="E114" s="295"/>
      <c r="F114" s="295"/>
      <c r="G114" s="295"/>
      <c r="I114" s="295"/>
      <c r="K114" s="295"/>
      <c r="L114" s="295"/>
      <c r="M114" s="295"/>
      <c r="N114" s="295"/>
      <c r="O114" s="295"/>
      <c r="R114" s="353"/>
      <c r="U114" s="295"/>
    </row>
    <row r="115" spans="3:21" s="120" customFormat="1" ht="18" customHeight="1">
      <c r="C115" s="295"/>
      <c r="E115" s="295"/>
      <c r="F115" s="295"/>
      <c r="G115" s="295"/>
      <c r="I115" s="295"/>
      <c r="K115" s="295"/>
      <c r="L115" s="295"/>
      <c r="M115" s="295"/>
      <c r="N115" s="295"/>
      <c r="O115" s="295"/>
      <c r="R115" s="353"/>
      <c r="U115" s="295"/>
    </row>
    <row r="116" spans="3:21" s="120" customFormat="1" ht="18" customHeight="1">
      <c r="C116" s="295"/>
      <c r="E116" s="295"/>
      <c r="F116" s="295"/>
      <c r="G116" s="295"/>
      <c r="I116" s="295"/>
      <c r="K116" s="295"/>
      <c r="L116" s="295"/>
      <c r="M116" s="295"/>
      <c r="N116" s="295"/>
      <c r="O116" s="295"/>
      <c r="R116" s="353"/>
      <c r="U116" s="295"/>
    </row>
    <row r="117" spans="3:21" s="120" customFormat="1" ht="18.75" customHeight="1">
      <c r="C117" s="295"/>
      <c r="E117" s="295"/>
      <c r="F117" s="295"/>
      <c r="G117" s="295"/>
      <c r="I117" s="295"/>
      <c r="K117" s="295"/>
      <c r="L117" s="295"/>
      <c r="M117" s="295"/>
      <c r="N117" s="295"/>
      <c r="O117" s="295"/>
      <c r="R117" s="353"/>
      <c r="U117" s="295"/>
    </row>
    <row r="118" spans="3:21" s="120" customFormat="1" ht="12.75">
      <c r="C118" s="295"/>
      <c r="E118" s="295"/>
      <c r="F118" s="295"/>
      <c r="G118" s="295"/>
      <c r="I118" s="295"/>
      <c r="K118" s="295"/>
      <c r="L118" s="295"/>
      <c r="M118" s="295"/>
      <c r="N118" s="295"/>
      <c r="O118" s="295"/>
      <c r="R118" s="353"/>
      <c r="U118" s="295"/>
    </row>
    <row r="119" spans="3:21" s="120" customFormat="1" ht="12.75">
      <c r="C119" s="295"/>
      <c r="E119" s="295"/>
      <c r="F119" s="295"/>
      <c r="G119" s="295"/>
      <c r="I119" s="295"/>
      <c r="K119" s="295"/>
      <c r="L119" s="295"/>
      <c r="M119" s="295"/>
      <c r="N119" s="295"/>
      <c r="O119" s="295"/>
      <c r="R119" s="353"/>
      <c r="U119" s="295"/>
    </row>
    <row r="120" spans="3:21" s="120" customFormat="1" ht="12.75">
      <c r="C120" s="295"/>
      <c r="E120" s="295"/>
      <c r="F120" s="295"/>
      <c r="G120" s="295"/>
      <c r="I120" s="295"/>
      <c r="K120" s="295"/>
      <c r="L120" s="295"/>
      <c r="M120" s="295"/>
      <c r="N120" s="295"/>
      <c r="O120" s="295"/>
      <c r="R120" s="353"/>
      <c r="U120" s="295"/>
    </row>
  </sheetData>
  <sheetProtection/>
  <mergeCells count="13">
    <mergeCell ref="A2:A4"/>
    <mergeCell ref="B3:C3"/>
    <mergeCell ref="B2:E2"/>
    <mergeCell ref="H3:I3"/>
    <mergeCell ref="R2:R3"/>
    <mergeCell ref="S2:S3"/>
    <mergeCell ref="L3:M3"/>
    <mergeCell ref="T2:U3"/>
    <mergeCell ref="D3:E3"/>
    <mergeCell ref="P2:Q3"/>
    <mergeCell ref="F3:G3"/>
    <mergeCell ref="F2:O2"/>
    <mergeCell ref="J3:K3"/>
  </mergeCells>
  <printOptions horizontalCentered="1"/>
  <pageMargins left="0.15748031496063" right="0.21" top="0.29" bottom="0.051574803" header="0.35" footer="0.25"/>
  <pageSetup horizontalDpi="600" verticalDpi="600" orientation="landscape" paperSize="9" r:id="rId1"/>
  <rowBreaks count="2" manualBreakCount="2">
    <brk id="31" max="18" man="1"/>
    <brk id="58" max="20" man="1"/>
  </rowBreaks>
</worksheet>
</file>

<file path=xl/worksheets/sheet4.xml><?xml version="1.0" encoding="utf-8"?>
<worksheet xmlns="http://schemas.openxmlformats.org/spreadsheetml/2006/main" xmlns:r="http://schemas.openxmlformats.org/officeDocument/2006/relationships">
  <sheetPr>
    <tabColor rgb="FFFF99CC"/>
  </sheetPr>
  <dimension ref="A1:AO167"/>
  <sheetViews>
    <sheetView zoomScalePageLayoutView="0" workbookViewId="0" topLeftCell="A1">
      <pane xSplit="1" ySplit="3" topLeftCell="B4" activePane="bottomRight" state="frozen"/>
      <selection pane="topLeft" activeCell="L32" sqref="L32"/>
      <selection pane="topRight" activeCell="L32" sqref="L32"/>
      <selection pane="bottomLeft" activeCell="L32" sqref="L32"/>
      <selection pane="bottomRight" activeCell="J108" sqref="J108"/>
    </sheetView>
  </sheetViews>
  <sheetFormatPr defaultColWidth="9.140625" defaultRowHeight="12.75"/>
  <cols>
    <col min="1" max="1" width="21.421875" style="98" customWidth="1"/>
    <col min="2" max="2" width="4.28125" style="122" bestFit="1" customWidth="1"/>
    <col min="3" max="3" width="9.421875" style="291" bestFit="1" customWidth="1"/>
    <col min="4" max="4" width="3.8515625" style="123" customWidth="1"/>
    <col min="5" max="5" width="8.28125" style="291" bestFit="1" customWidth="1"/>
    <col min="6" max="6" width="4.28125" style="122" bestFit="1" customWidth="1"/>
    <col min="7" max="7" width="8.00390625" style="291" customWidth="1"/>
    <col min="8" max="8" width="5.28125" style="123" customWidth="1"/>
    <col min="9" max="9" width="10.421875" style="598" bestFit="1" customWidth="1"/>
    <col min="10" max="10" width="5.140625" style="98" bestFit="1" customWidth="1"/>
    <col min="11" max="11" width="8.28125" style="598" bestFit="1" customWidth="1"/>
    <col min="12" max="12" width="5.140625" style="98" bestFit="1" customWidth="1"/>
    <col min="13" max="13" width="8.421875" style="598" bestFit="1" customWidth="1"/>
    <col min="14" max="14" width="4.421875" style="98" customWidth="1"/>
    <col min="15" max="15" width="9.00390625" style="598" customWidth="1"/>
    <col min="16" max="16" width="3.8515625" style="123" customWidth="1"/>
    <col min="17" max="17" width="7.7109375" style="598" customWidth="1"/>
    <col min="18" max="18" width="4.00390625" style="98" customWidth="1"/>
    <col min="19" max="19" width="8.8515625" style="598" customWidth="1"/>
    <col min="20" max="20" width="5.140625" style="98" bestFit="1" customWidth="1"/>
    <col min="21" max="21" width="10.00390625" style="598" customWidth="1"/>
    <col min="22" max="22" width="4.140625" style="124" customWidth="1"/>
    <col min="23" max="23" width="9.140625" style="598" customWidth="1"/>
    <col min="24" max="24" width="5.140625" style="98" customWidth="1"/>
    <col min="25" max="25" width="9.00390625" style="598" customWidth="1"/>
    <col min="26" max="26" width="5.00390625" style="124" customWidth="1"/>
    <col min="27" max="27" width="9.140625" style="598" customWidth="1"/>
    <col min="28" max="28" width="3.8515625" style="123" customWidth="1"/>
    <col min="29" max="29" width="9.421875" style="598" bestFit="1" customWidth="1"/>
    <col min="30" max="30" width="4.8515625" style="124" customWidth="1"/>
    <col min="31" max="31" width="9.00390625" style="598" customWidth="1"/>
    <col min="32" max="32" width="4.00390625" style="98" customWidth="1"/>
    <col min="33" max="33" width="8.140625" style="598" customWidth="1"/>
    <col min="34" max="34" width="4.8515625" style="124" customWidth="1"/>
    <col min="35" max="35" width="9.00390625" style="598" customWidth="1"/>
    <col min="36" max="36" width="3.8515625" style="289" customWidth="1"/>
    <col min="37" max="37" width="8.421875" style="289" customWidth="1"/>
    <col min="38" max="38" width="4.421875" style="124" customWidth="1"/>
    <col min="39" max="39" width="6.7109375" style="598" bestFit="1" customWidth="1"/>
    <col min="40" max="40" width="7.140625" style="124" customWidth="1"/>
    <col min="41" max="41" width="10.00390625" style="375" customWidth="1"/>
    <col min="42" max="16384" width="9.140625" style="98" customWidth="1"/>
  </cols>
  <sheetData>
    <row r="1" spans="1:40" s="56" customFormat="1" ht="18.75" customHeight="1" thickBot="1">
      <c r="A1" s="86"/>
      <c r="B1" s="557"/>
      <c r="C1" s="1143"/>
      <c r="D1" s="559"/>
      <c r="E1" s="558"/>
      <c r="F1" s="557"/>
      <c r="G1" s="558"/>
      <c r="H1" s="559"/>
      <c r="I1" s="839"/>
      <c r="J1" s="559"/>
      <c r="K1" s="839"/>
      <c r="L1" s="123"/>
      <c r="M1" s="598"/>
      <c r="N1" s="123"/>
      <c r="O1" s="598"/>
      <c r="P1" s="123"/>
      <c r="Q1" s="598"/>
      <c r="R1" s="123"/>
      <c r="S1" s="598"/>
      <c r="T1" s="123"/>
      <c r="U1" s="598"/>
      <c r="V1" s="124"/>
      <c r="W1" s="598"/>
      <c r="X1" s="123"/>
      <c r="Y1" s="598"/>
      <c r="AA1" s="367"/>
      <c r="AC1" s="367"/>
      <c r="AD1" s="124"/>
      <c r="AE1" s="367"/>
      <c r="AF1" s="69"/>
      <c r="AG1" s="842"/>
      <c r="AH1" s="69"/>
      <c r="AI1" s="844" t="s">
        <v>0</v>
      </c>
      <c r="AJ1" s="736"/>
      <c r="AK1" s="736"/>
      <c r="AL1" s="69"/>
      <c r="AM1" s="842"/>
      <c r="AN1" s="69"/>
    </row>
    <row r="2" spans="1:41" s="56" customFormat="1" ht="73.5" customHeight="1" thickBot="1">
      <c r="A2" s="1214" t="s">
        <v>1</v>
      </c>
      <c r="B2" s="1213" t="s">
        <v>63</v>
      </c>
      <c r="C2" s="1213"/>
      <c r="D2" s="1213" t="s">
        <v>64</v>
      </c>
      <c r="E2" s="1213"/>
      <c r="F2" s="1212" t="s">
        <v>75</v>
      </c>
      <c r="G2" s="1212"/>
      <c r="H2" s="1212" t="s">
        <v>65</v>
      </c>
      <c r="I2" s="1212"/>
      <c r="J2" s="1212" t="s">
        <v>76</v>
      </c>
      <c r="K2" s="1212"/>
      <c r="L2" s="1213" t="s">
        <v>136</v>
      </c>
      <c r="M2" s="1213"/>
      <c r="N2" s="1213" t="s">
        <v>66</v>
      </c>
      <c r="O2" s="1213"/>
      <c r="P2" s="1213" t="s">
        <v>67</v>
      </c>
      <c r="Q2" s="1213"/>
      <c r="R2" s="1213" t="s">
        <v>138</v>
      </c>
      <c r="S2" s="1213"/>
      <c r="T2" s="1213" t="s">
        <v>68</v>
      </c>
      <c r="U2" s="1213"/>
      <c r="V2" s="1213" t="s">
        <v>69</v>
      </c>
      <c r="W2" s="1213"/>
      <c r="X2" s="1213" t="s">
        <v>70</v>
      </c>
      <c r="Y2" s="1213"/>
      <c r="Z2" s="1213" t="s">
        <v>71</v>
      </c>
      <c r="AA2" s="1213"/>
      <c r="AB2" s="1213" t="s">
        <v>72</v>
      </c>
      <c r="AC2" s="1213"/>
      <c r="AD2" s="1213" t="s">
        <v>73</v>
      </c>
      <c r="AE2" s="1213"/>
      <c r="AF2" s="1213" t="s">
        <v>74</v>
      </c>
      <c r="AG2" s="1213"/>
      <c r="AH2" s="1213" t="s">
        <v>84</v>
      </c>
      <c r="AI2" s="1213"/>
      <c r="AJ2" s="1213" t="s">
        <v>218</v>
      </c>
      <c r="AK2" s="1213"/>
      <c r="AL2" s="1213" t="s">
        <v>224</v>
      </c>
      <c r="AM2" s="1213"/>
      <c r="AN2" s="1215" t="s">
        <v>58</v>
      </c>
      <c r="AO2" s="1215"/>
    </row>
    <row r="3" spans="1:41" s="65" customFormat="1" ht="21.75" customHeight="1" thickBot="1">
      <c r="A3" s="1214"/>
      <c r="B3" s="1163" t="s">
        <v>10</v>
      </c>
      <c r="C3" s="735" t="s">
        <v>9</v>
      </c>
      <c r="D3" s="1163" t="s">
        <v>10</v>
      </c>
      <c r="E3" s="735" t="s">
        <v>9</v>
      </c>
      <c r="F3" s="1163" t="s">
        <v>10</v>
      </c>
      <c r="G3" s="735" t="s">
        <v>9</v>
      </c>
      <c r="H3" s="85" t="s">
        <v>10</v>
      </c>
      <c r="I3" s="834" t="s">
        <v>9</v>
      </c>
      <c r="J3" s="85" t="s">
        <v>10</v>
      </c>
      <c r="K3" s="834" t="s">
        <v>9</v>
      </c>
      <c r="L3" s="85" t="s">
        <v>10</v>
      </c>
      <c r="M3" s="834" t="s">
        <v>9</v>
      </c>
      <c r="N3" s="85" t="s">
        <v>10</v>
      </c>
      <c r="O3" s="834" t="s">
        <v>9</v>
      </c>
      <c r="P3" s="85" t="s">
        <v>10</v>
      </c>
      <c r="Q3" s="834" t="s">
        <v>9</v>
      </c>
      <c r="R3" s="85" t="s">
        <v>10</v>
      </c>
      <c r="S3" s="834" t="s">
        <v>9</v>
      </c>
      <c r="T3" s="85" t="s">
        <v>10</v>
      </c>
      <c r="U3" s="834" t="s">
        <v>9</v>
      </c>
      <c r="V3" s="85" t="s">
        <v>10</v>
      </c>
      <c r="W3" s="834" t="s">
        <v>9</v>
      </c>
      <c r="X3" s="85" t="s">
        <v>10</v>
      </c>
      <c r="Y3" s="834" t="s">
        <v>9</v>
      </c>
      <c r="Z3" s="85" t="s">
        <v>10</v>
      </c>
      <c r="AA3" s="834" t="s">
        <v>9</v>
      </c>
      <c r="AB3" s="85" t="s">
        <v>10</v>
      </c>
      <c r="AC3" s="834" t="s">
        <v>9</v>
      </c>
      <c r="AD3" s="85" t="s">
        <v>10</v>
      </c>
      <c r="AE3" s="834" t="s">
        <v>9</v>
      </c>
      <c r="AF3" s="85" t="s">
        <v>10</v>
      </c>
      <c r="AG3" s="834" t="s">
        <v>9</v>
      </c>
      <c r="AH3" s="85" t="s">
        <v>10</v>
      </c>
      <c r="AI3" s="834" t="s">
        <v>9</v>
      </c>
      <c r="AJ3" s="85" t="s">
        <v>10</v>
      </c>
      <c r="AK3" s="735" t="s">
        <v>9</v>
      </c>
      <c r="AL3" s="85" t="s">
        <v>10</v>
      </c>
      <c r="AM3" s="834" t="s">
        <v>9</v>
      </c>
      <c r="AN3" s="85" t="s">
        <v>10</v>
      </c>
      <c r="AO3" s="737" t="s">
        <v>9</v>
      </c>
    </row>
    <row r="4" spans="1:41" s="56" customFormat="1" ht="27" customHeight="1">
      <c r="A4" s="70" t="s">
        <v>77</v>
      </c>
      <c r="B4" s="58"/>
      <c r="C4" s="285"/>
      <c r="D4" s="59"/>
      <c r="E4" s="285"/>
      <c r="F4" s="58"/>
      <c r="G4" s="285"/>
      <c r="H4" s="59"/>
      <c r="I4" s="822"/>
      <c r="J4" s="59"/>
      <c r="K4" s="822"/>
      <c r="L4" s="59"/>
      <c r="M4" s="822"/>
      <c r="N4" s="59"/>
      <c r="O4" s="822"/>
      <c r="P4" s="59"/>
      <c r="Q4" s="822"/>
      <c r="R4" s="59"/>
      <c r="S4" s="822"/>
      <c r="T4" s="59"/>
      <c r="U4" s="822"/>
      <c r="V4" s="60"/>
      <c r="W4" s="822"/>
      <c r="X4" s="59"/>
      <c r="Y4" s="822"/>
      <c r="Z4" s="60"/>
      <c r="AA4" s="822"/>
      <c r="AB4" s="59"/>
      <c r="AC4" s="822"/>
      <c r="AD4" s="60"/>
      <c r="AE4" s="822"/>
      <c r="AF4" s="59"/>
      <c r="AG4" s="822"/>
      <c r="AH4" s="60"/>
      <c r="AI4" s="822"/>
      <c r="AJ4" s="285"/>
      <c r="AK4" s="285"/>
      <c r="AL4" s="60"/>
      <c r="AM4" s="822"/>
      <c r="AN4" s="60"/>
      <c r="AO4" s="738"/>
    </row>
    <row r="5" spans="1:41" s="74" customFormat="1" ht="27" customHeight="1">
      <c r="A5" s="71" t="s">
        <v>78</v>
      </c>
      <c r="B5" s="137">
        <v>20</v>
      </c>
      <c r="C5" s="333">
        <v>3101.3</v>
      </c>
      <c r="D5" s="12">
        <v>10</v>
      </c>
      <c r="E5" s="333">
        <v>1223.1</v>
      </c>
      <c r="F5" s="137"/>
      <c r="G5" s="333">
        <v>448.6</v>
      </c>
      <c r="H5" s="15"/>
      <c r="I5" s="835">
        <f>242.6+19074.8+251.8+19431.2+3395.6+68.4+899.5</f>
        <v>43363.899999999994</v>
      </c>
      <c r="J5" s="12">
        <v>10</v>
      </c>
      <c r="K5" s="368">
        <v>1024</v>
      </c>
      <c r="L5" s="12"/>
      <c r="M5" s="368"/>
      <c r="N5" s="12">
        <v>12</v>
      </c>
      <c r="O5" s="368">
        <v>1391.3</v>
      </c>
      <c r="P5" s="12"/>
      <c r="Q5" s="368"/>
      <c r="R5" s="12"/>
      <c r="S5" s="368"/>
      <c r="T5" s="12">
        <v>150</v>
      </c>
      <c r="U5" s="368">
        <f>4367.8+1119</f>
        <v>5486.8</v>
      </c>
      <c r="V5" s="11"/>
      <c r="W5" s="363"/>
      <c r="X5" s="11">
        <v>51</v>
      </c>
      <c r="Y5" s="363">
        <f>4778.1+2000</f>
        <v>6778.1</v>
      </c>
      <c r="Z5" s="11"/>
      <c r="AA5" s="363">
        <f>60.7+20000</f>
        <v>20060.7</v>
      </c>
      <c r="AB5" s="11"/>
      <c r="AC5" s="363"/>
      <c r="AD5" s="11">
        <v>10</v>
      </c>
      <c r="AE5" s="363">
        <v>2082.3</v>
      </c>
      <c r="AF5" s="11"/>
      <c r="AG5" s="363">
        <v>496</v>
      </c>
      <c r="AH5" s="11">
        <v>4</v>
      </c>
      <c r="AI5" s="363">
        <v>1002</v>
      </c>
      <c r="AJ5" s="299"/>
      <c r="AK5" s="299"/>
      <c r="AL5" s="11"/>
      <c r="AM5" s="363"/>
      <c r="AN5" s="981">
        <f>SUM(B5,D5,F5,H5,J5,L5,N5,P5,R5,T5,V5,X5,Z5,AB5,AD5,AF5,AH5,AL5,AJ5)</f>
        <v>267</v>
      </c>
      <c r="AO5" s="812">
        <f>SUM(C5,E5,G5,I5,K5,M5,O5,Q5,S5,U5,W5,Y5,AA5,AC5,AE5,AG5,AI5,AM5,AK5)</f>
        <v>86458.1</v>
      </c>
    </row>
    <row r="6" spans="1:41" s="74" customFormat="1" ht="27" customHeight="1">
      <c r="A6" s="71" t="s">
        <v>79</v>
      </c>
      <c r="B6" s="137">
        <f>10+5+16+3</f>
        <v>34</v>
      </c>
      <c r="C6" s="333">
        <f>2806.3+504+717.2+285.5+5648.3+854.3</f>
        <v>10815.599999999999</v>
      </c>
      <c r="D6" s="12">
        <v>8</v>
      </c>
      <c r="E6" s="333">
        <v>1148.2</v>
      </c>
      <c r="F6" s="137">
        <v>1</v>
      </c>
      <c r="G6" s="333">
        <v>3298.2</v>
      </c>
      <c r="H6" s="15">
        <f>13+10+2+1+1+2+2+3+3+6</f>
        <v>43</v>
      </c>
      <c r="I6" s="835">
        <f>2224.7+1302.1+507.6+521.1+6434.7+5349.8+4639.4+1543+21176.3+212.7+300.8+758.1+6816.8+343.1+3.4+427.3+1028.7+121+596.3</f>
        <v>54306.9</v>
      </c>
      <c r="J6" s="12"/>
      <c r="K6" s="368">
        <v>47.3</v>
      </c>
      <c r="L6" s="12">
        <v>19</v>
      </c>
      <c r="M6" s="368">
        <v>702.8</v>
      </c>
      <c r="N6" s="12"/>
      <c r="O6" s="368">
        <v>2344</v>
      </c>
      <c r="P6" s="12"/>
      <c r="Q6" s="368">
        <v>966.5</v>
      </c>
      <c r="R6" s="12">
        <v>1</v>
      </c>
      <c r="S6" s="368">
        <v>1555.4</v>
      </c>
      <c r="T6" s="12"/>
      <c r="U6" s="368"/>
      <c r="V6" s="11">
        <f>3+35+20</f>
        <v>58</v>
      </c>
      <c r="W6" s="363">
        <f>779.8+18314.7+1537.9+2152.4</f>
        <v>22784.800000000003</v>
      </c>
      <c r="X6" s="11">
        <f>5+64</f>
        <v>69</v>
      </c>
      <c r="Y6" s="363">
        <f>2821.7+2458.6+810.5</f>
        <v>6090.799999999999</v>
      </c>
      <c r="Z6" s="11">
        <f>12+271+20</f>
        <v>303</v>
      </c>
      <c r="AA6" s="363">
        <f>1980.6+6649.9+226.9+1760.9+598.6+390.8+7604.6</f>
        <v>19212.3</v>
      </c>
      <c r="AB6" s="11"/>
      <c r="AC6" s="363">
        <v>2684.3</v>
      </c>
      <c r="AD6" s="11">
        <v>10</v>
      </c>
      <c r="AE6" s="363">
        <v>968.2</v>
      </c>
      <c r="AF6" s="11">
        <v>1</v>
      </c>
      <c r="AG6" s="363">
        <v>1812.1</v>
      </c>
      <c r="AH6" s="11">
        <v>8</v>
      </c>
      <c r="AI6" s="363">
        <v>3165.6</v>
      </c>
      <c r="AJ6" s="873">
        <v>2</v>
      </c>
      <c r="AK6" s="299">
        <v>606.9</v>
      </c>
      <c r="AL6" s="11"/>
      <c r="AM6" s="363"/>
      <c r="AN6" s="981">
        <f aca="true" t="shared" si="0" ref="AN6:AO8">SUM(B6,D6,F6,H6,J6,L6,N6,P6,R6,T6,V6,X6,Z6,AB6,AD6,AF6,AH6,AL6,AJ6)</f>
        <v>557</v>
      </c>
      <c r="AO6" s="812">
        <f t="shared" si="0"/>
        <v>132509.9</v>
      </c>
    </row>
    <row r="7" spans="1:41" s="74" customFormat="1" ht="27" customHeight="1">
      <c r="A7" s="71" t="s">
        <v>80</v>
      </c>
      <c r="B7" s="137">
        <v>1</v>
      </c>
      <c r="C7" s="333">
        <f>282.9+174.3+235</f>
        <v>692.2</v>
      </c>
      <c r="D7" s="12">
        <v>2</v>
      </c>
      <c r="E7" s="333">
        <v>586.3</v>
      </c>
      <c r="F7" s="137"/>
      <c r="G7" s="333"/>
      <c r="H7" s="15">
        <f>8+29</f>
        <v>37</v>
      </c>
      <c r="I7" s="835">
        <f>891.6+3929.4+153.6</f>
        <v>4974.6</v>
      </c>
      <c r="J7" s="12"/>
      <c r="K7" s="368"/>
      <c r="L7" s="12"/>
      <c r="M7" s="368"/>
      <c r="N7" s="12">
        <v>22</v>
      </c>
      <c r="O7" s="368">
        <v>4734.9</v>
      </c>
      <c r="P7" s="12"/>
      <c r="Q7" s="368"/>
      <c r="R7" s="12"/>
      <c r="S7" s="368"/>
      <c r="T7" s="12"/>
      <c r="U7" s="368"/>
      <c r="V7" s="11">
        <f>1+4+2</f>
        <v>7</v>
      </c>
      <c r="W7" s="363">
        <f>232.8+1867.8</f>
        <v>2100.6</v>
      </c>
      <c r="X7" s="11">
        <v>28</v>
      </c>
      <c r="Y7" s="363">
        <f>1331.6+2088.4</f>
        <v>3420</v>
      </c>
      <c r="Z7" s="11">
        <v>3</v>
      </c>
      <c r="AA7" s="363">
        <v>2546.3</v>
      </c>
      <c r="AB7" s="11"/>
      <c r="AC7" s="363">
        <v>907.2</v>
      </c>
      <c r="AD7" s="11">
        <f>41+27+8+16</f>
        <v>92</v>
      </c>
      <c r="AE7" s="363">
        <f>44.4+4250+431.6+182+2859.3+1242.3+637.5</f>
        <v>9647.1</v>
      </c>
      <c r="AF7" s="11">
        <v>39</v>
      </c>
      <c r="AG7" s="363">
        <v>1630.9</v>
      </c>
      <c r="AH7" s="11">
        <v>9</v>
      </c>
      <c r="AI7" s="363">
        <v>275</v>
      </c>
      <c r="AJ7" s="873"/>
      <c r="AK7" s="299">
        <v>490.6</v>
      </c>
      <c r="AL7" s="11"/>
      <c r="AM7" s="363"/>
      <c r="AN7" s="981">
        <f t="shared" si="0"/>
        <v>240</v>
      </c>
      <c r="AO7" s="812">
        <f t="shared" si="0"/>
        <v>32005.699999999997</v>
      </c>
    </row>
    <row r="8" spans="1:41" s="346" customFormat="1" ht="27" customHeight="1">
      <c r="A8" s="207" t="s">
        <v>81</v>
      </c>
      <c r="B8" s="208"/>
      <c r="C8" s="593"/>
      <c r="D8" s="582">
        <v>40</v>
      </c>
      <c r="E8" s="593">
        <v>2910.5</v>
      </c>
      <c r="F8" s="208"/>
      <c r="G8" s="593"/>
      <c r="H8" s="18">
        <v>1</v>
      </c>
      <c r="I8" s="836">
        <f>584.4+2209.3+1236.5</f>
        <v>4030.2000000000003</v>
      </c>
      <c r="J8" s="582"/>
      <c r="K8" s="583"/>
      <c r="L8" s="582"/>
      <c r="M8" s="583"/>
      <c r="N8" s="582"/>
      <c r="O8" s="583"/>
      <c r="P8" s="582"/>
      <c r="Q8" s="583"/>
      <c r="R8" s="582"/>
      <c r="S8" s="583"/>
      <c r="T8" s="582"/>
      <c r="U8" s="583"/>
      <c r="V8" s="17">
        <v>7</v>
      </c>
      <c r="W8" s="364">
        <v>419.4</v>
      </c>
      <c r="X8" s="17">
        <v>16</v>
      </c>
      <c r="Y8" s="364">
        <v>1546.7</v>
      </c>
      <c r="Z8" s="17"/>
      <c r="AA8" s="364"/>
      <c r="AB8" s="17"/>
      <c r="AC8" s="364"/>
      <c r="AD8" s="17"/>
      <c r="AE8" s="364"/>
      <c r="AF8" s="17"/>
      <c r="AG8" s="364"/>
      <c r="AH8" s="17"/>
      <c r="AI8" s="364"/>
      <c r="AJ8" s="332"/>
      <c r="AK8" s="332"/>
      <c r="AL8" s="17"/>
      <c r="AM8" s="364"/>
      <c r="AN8" s="983">
        <f t="shared" si="0"/>
        <v>64</v>
      </c>
      <c r="AO8" s="984">
        <f t="shared" si="0"/>
        <v>8906.800000000001</v>
      </c>
    </row>
    <row r="9" spans="1:41" s="73" customFormat="1" ht="27" customHeight="1">
      <c r="A9" s="1128" t="s">
        <v>176</v>
      </c>
      <c r="B9" s="206"/>
      <c r="C9" s="344"/>
      <c r="D9" s="148"/>
      <c r="E9" s="344"/>
      <c r="F9" s="148"/>
      <c r="G9" s="344"/>
      <c r="H9" s="148"/>
      <c r="I9" s="837"/>
      <c r="J9" s="148"/>
      <c r="K9" s="837"/>
      <c r="L9" s="11"/>
      <c r="M9" s="363"/>
      <c r="N9" s="11"/>
      <c r="O9" s="363"/>
      <c r="P9" s="11"/>
      <c r="Q9" s="363"/>
      <c r="R9" s="11"/>
      <c r="S9" s="363"/>
      <c r="T9" s="11"/>
      <c r="U9" s="363"/>
      <c r="V9" s="11"/>
      <c r="W9" s="363"/>
      <c r="X9" s="11"/>
      <c r="Y9" s="363"/>
      <c r="Z9" s="11"/>
      <c r="AA9" s="363"/>
      <c r="AB9" s="11"/>
      <c r="AC9" s="363"/>
      <c r="AD9" s="11"/>
      <c r="AE9" s="363"/>
      <c r="AF9" s="11"/>
      <c r="AG9" s="363"/>
      <c r="AH9" s="11"/>
      <c r="AI9" s="363"/>
      <c r="AJ9" s="299"/>
      <c r="AK9" s="299"/>
      <c r="AL9" s="11"/>
      <c r="AM9" s="363"/>
      <c r="AN9" s="83"/>
      <c r="AO9" s="739"/>
    </row>
    <row r="10" spans="1:41" s="73" customFormat="1" ht="27" customHeight="1">
      <c r="A10" s="1144" t="s">
        <v>87</v>
      </c>
      <c r="B10" s="137"/>
      <c r="C10" s="299"/>
      <c r="D10" s="11"/>
      <c r="E10" s="299"/>
      <c r="F10" s="11"/>
      <c r="G10" s="299"/>
      <c r="H10" s="11">
        <v>18</v>
      </c>
      <c r="I10" s="363">
        <v>877.7</v>
      </c>
      <c r="J10" s="11"/>
      <c r="K10" s="363"/>
      <c r="L10" s="11"/>
      <c r="M10" s="363"/>
      <c r="N10" s="11"/>
      <c r="O10" s="363"/>
      <c r="P10" s="11"/>
      <c r="Q10" s="363"/>
      <c r="R10" s="11"/>
      <c r="S10" s="363"/>
      <c r="T10" s="11"/>
      <c r="U10" s="363"/>
      <c r="V10" s="11"/>
      <c r="W10" s="363"/>
      <c r="X10" s="11">
        <v>1</v>
      </c>
      <c r="Y10" s="363">
        <v>112.1</v>
      </c>
      <c r="Z10" s="11"/>
      <c r="AA10" s="363"/>
      <c r="AB10" s="11"/>
      <c r="AC10" s="363"/>
      <c r="AD10" s="11"/>
      <c r="AE10" s="363"/>
      <c r="AF10" s="11"/>
      <c r="AG10" s="363"/>
      <c r="AH10" s="11"/>
      <c r="AI10" s="363"/>
      <c r="AJ10" s="299"/>
      <c r="AK10" s="299"/>
      <c r="AL10" s="11"/>
      <c r="AM10" s="363"/>
      <c r="AN10" s="981">
        <f aca="true" t="shared" si="1" ref="AN10:AO13">SUM(B10,D10,F10,H10,J10,L10,N10,P10,R10,T10,V10,X10,Z10,AB10,AD10,AF10,AH10,AL10,AJ10)</f>
        <v>19</v>
      </c>
      <c r="AO10" s="812">
        <f t="shared" si="1"/>
        <v>989.8000000000001</v>
      </c>
    </row>
    <row r="11" spans="1:41" s="73" customFormat="1" ht="27" customHeight="1">
      <c r="A11" s="1144" t="s">
        <v>109</v>
      </c>
      <c r="B11" s="137">
        <v>12</v>
      </c>
      <c r="C11" s="299">
        <v>260.5</v>
      </c>
      <c r="D11" s="11"/>
      <c r="E11" s="299"/>
      <c r="F11" s="11"/>
      <c r="G11" s="299"/>
      <c r="H11" s="11">
        <v>10</v>
      </c>
      <c r="I11" s="363">
        <v>189.7</v>
      </c>
      <c r="J11" s="11"/>
      <c r="K11" s="363"/>
      <c r="L11" s="11"/>
      <c r="M11" s="363"/>
      <c r="N11" s="11"/>
      <c r="O11" s="363"/>
      <c r="P11" s="11"/>
      <c r="Q11" s="363"/>
      <c r="R11" s="11"/>
      <c r="S11" s="363"/>
      <c r="T11" s="11"/>
      <c r="U11" s="363"/>
      <c r="V11" s="11"/>
      <c r="W11" s="363"/>
      <c r="X11" s="11"/>
      <c r="Y11" s="363"/>
      <c r="Z11" s="11"/>
      <c r="AA11" s="363"/>
      <c r="AB11" s="11">
        <v>8</v>
      </c>
      <c r="AC11" s="363">
        <v>468.5</v>
      </c>
      <c r="AD11" s="11"/>
      <c r="AE11" s="363"/>
      <c r="AF11" s="11"/>
      <c r="AG11" s="363"/>
      <c r="AH11" s="11"/>
      <c r="AI11" s="363"/>
      <c r="AJ11" s="299"/>
      <c r="AK11" s="299"/>
      <c r="AL11" s="11"/>
      <c r="AM11" s="363"/>
      <c r="AN11" s="981">
        <f t="shared" si="1"/>
        <v>30</v>
      </c>
      <c r="AO11" s="812">
        <f t="shared" si="1"/>
        <v>918.7</v>
      </c>
    </row>
    <row r="12" spans="1:41" s="73" customFormat="1" ht="27" customHeight="1">
      <c r="A12" s="1144" t="s">
        <v>88</v>
      </c>
      <c r="B12" s="137">
        <v>9</v>
      </c>
      <c r="C12" s="299">
        <v>228.7</v>
      </c>
      <c r="D12" s="11"/>
      <c r="E12" s="299"/>
      <c r="F12" s="11"/>
      <c r="G12" s="299"/>
      <c r="H12" s="11">
        <v>8</v>
      </c>
      <c r="I12" s="363">
        <v>186.3</v>
      </c>
      <c r="J12" s="11"/>
      <c r="K12" s="363"/>
      <c r="L12" s="11"/>
      <c r="M12" s="363"/>
      <c r="N12" s="11"/>
      <c r="O12" s="363"/>
      <c r="P12" s="11"/>
      <c r="Q12" s="363"/>
      <c r="R12" s="11"/>
      <c r="S12" s="363"/>
      <c r="T12" s="11"/>
      <c r="U12" s="363"/>
      <c r="V12" s="11"/>
      <c r="W12" s="363"/>
      <c r="X12" s="11"/>
      <c r="Y12" s="363"/>
      <c r="Z12" s="11"/>
      <c r="AA12" s="363"/>
      <c r="AB12" s="11"/>
      <c r="AC12" s="363"/>
      <c r="AD12" s="11"/>
      <c r="AE12" s="363"/>
      <c r="AF12" s="11"/>
      <c r="AG12" s="363"/>
      <c r="AH12" s="11"/>
      <c r="AI12" s="363"/>
      <c r="AJ12" s="299"/>
      <c r="AK12" s="299"/>
      <c r="AL12" s="11"/>
      <c r="AM12" s="363"/>
      <c r="AN12" s="981">
        <f t="shared" si="1"/>
        <v>17</v>
      </c>
      <c r="AO12" s="812">
        <f t="shared" si="1"/>
        <v>415</v>
      </c>
    </row>
    <row r="13" spans="1:41" s="346" customFormat="1" ht="27" customHeight="1">
      <c r="A13" s="1145" t="s">
        <v>83</v>
      </c>
      <c r="B13" s="208"/>
      <c r="C13" s="593"/>
      <c r="D13" s="582"/>
      <c r="E13" s="593"/>
      <c r="F13" s="208"/>
      <c r="G13" s="593"/>
      <c r="H13" s="18">
        <v>11</v>
      </c>
      <c r="I13" s="836">
        <v>592.3</v>
      </c>
      <c r="J13" s="582"/>
      <c r="K13" s="583"/>
      <c r="L13" s="582"/>
      <c r="M13" s="583"/>
      <c r="N13" s="582"/>
      <c r="O13" s="583"/>
      <c r="P13" s="582"/>
      <c r="Q13" s="583"/>
      <c r="R13" s="582"/>
      <c r="S13" s="583"/>
      <c r="T13" s="582"/>
      <c r="U13" s="583"/>
      <c r="V13" s="17"/>
      <c r="W13" s="364"/>
      <c r="X13" s="17"/>
      <c r="Y13" s="364">
        <v>257.6</v>
      </c>
      <c r="Z13" s="17"/>
      <c r="AA13" s="364"/>
      <c r="AB13" s="17"/>
      <c r="AC13" s="364"/>
      <c r="AD13" s="17"/>
      <c r="AE13" s="364"/>
      <c r="AF13" s="17"/>
      <c r="AG13" s="364"/>
      <c r="AH13" s="17"/>
      <c r="AI13" s="364"/>
      <c r="AJ13" s="332"/>
      <c r="AK13" s="332"/>
      <c r="AL13" s="17"/>
      <c r="AM13" s="364"/>
      <c r="AN13" s="983">
        <f t="shared" si="1"/>
        <v>11</v>
      </c>
      <c r="AO13" s="984">
        <f t="shared" si="1"/>
        <v>849.9</v>
      </c>
    </row>
    <row r="14" spans="1:41" s="73" customFormat="1" ht="27" customHeight="1">
      <c r="A14" s="1128" t="s">
        <v>20</v>
      </c>
      <c r="B14" s="206"/>
      <c r="C14" s="344"/>
      <c r="D14" s="148"/>
      <c r="E14" s="344"/>
      <c r="F14" s="148"/>
      <c r="G14" s="344"/>
      <c r="H14" s="148"/>
      <c r="I14" s="837"/>
      <c r="J14" s="148"/>
      <c r="K14" s="837"/>
      <c r="L14" s="11"/>
      <c r="M14" s="363"/>
      <c r="N14" s="11"/>
      <c r="O14" s="363"/>
      <c r="P14" s="11"/>
      <c r="Q14" s="363"/>
      <c r="R14" s="11"/>
      <c r="S14" s="363"/>
      <c r="T14" s="11"/>
      <c r="U14" s="363"/>
      <c r="V14" s="11"/>
      <c r="W14" s="363"/>
      <c r="X14" s="11"/>
      <c r="Y14" s="363"/>
      <c r="Z14" s="11"/>
      <c r="AA14" s="363"/>
      <c r="AB14" s="11"/>
      <c r="AC14" s="363"/>
      <c r="AD14" s="11"/>
      <c r="AE14" s="363"/>
      <c r="AF14" s="11"/>
      <c r="AG14" s="363"/>
      <c r="AH14" s="11"/>
      <c r="AI14" s="363"/>
      <c r="AJ14" s="299"/>
      <c r="AK14" s="299"/>
      <c r="AL14" s="11"/>
      <c r="AM14" s="363"/>
      <c r="AN14" s="982"/>
      <c r="AO14" s="739"/>
    </row>
    <row r="15" spans="1:41" s="73" customFormat="1" ht="27" customHeight="1">
      <c r="A15" s="1146" t="s">
        <v>82</v>
      </c>
      <c r="B15" s="137"/>
      <c r="C15" s="299"/>
      <c r="D15" s="11"/>
      <c r="E15" s="299"/>
      <c r="F15" s="11"/>
      <c r="G15" s="299"/>
      <c r="H15" s="11"/>
      <c r="I15" s="363"/>
      <c r="J15" s="11"/>
      <c r="K15" s="363"/>
      <c r="L15" s="11"/>
      <c r="M15" s="363"/>
      <c r="N15" s="11"/>
      <c r="O15" s="363"/>
      <c r="P15" s="11"/>
      <c r="Q15" s="363"/>
      <c r="R15" s="11"/>
      <c r="S15" s="363"/>
      <c r="T15" s="11"/>
      <c r="U15" s="363"/>
      <c r="V15" s="11"/>
      <c r="W15" s="363"/>
      <c r="X15" s="11">
        <v>12</v>
      </c>
      <c r="Y15" s="363">
        <v>917.8</v>
      </c>
      <c r="Z15" s="11"/>
      <c r="AA15" s="363"/>
      <c r="AB15" s="11"/>
      <c r="AC15" s="363"/>
      <c r="AD15" s="11"/>
      <c r="AE15" s="363"/>
      <c r="AF15" s="11"/>
      <c r="AG15" s="363"/>
      <c r="AH15" s="11"/>
      <c r="AI15" s="363"/>
      <c r="AJ15" s="299"/>
      <c r="AK15" s="299"/>
      <c r="AL15" s="11"/>
      <c r="AM15" s="363"/>
      <c r="AN15" s="981">
        <f>SUM(B15,D15,F15,H15,J15,L15,N15,P15,R15,T15,V15,X15,Z15,AB15,AD15,AF15,AH15,AL15,AJ15)</f>
        <v>12</v>
      </c>
      <c r="AO15" s="812">
        <f>SUM(C15,E15,G15,I15,K15,M15,O15,Q15,S15,U15,W15,Y15,AA15,AC15,AE15,AG15,AI15,AM15,AK15)</f>
        <v>917.8</v>
      </c>
    </row>
    <row r="16" spans="1:41" s="346" customFormat="1" ht="27" customHeight="1">
      <c r="A16" s="1147" t="s">
        <v>615</v>
      </c>
      <c r="B16" s="208">
        <v>14</v>
      </c>
      <c r="C16" s="593">
        <v>3096.5</v>
      </c>
      <c r="D16" s="582"/>
      <c r="E16" s="593"/>
      <c r="F16" s="208">
        <v>10</v>
      </c>
      <c r="G16" s="593">
        <v>1469.9</v>
      </c>
      <c r="H16" s="18"/>
      <c r="I16" s="836"/>
      <c r="J16" s="582"/>
      <c r="K16" s="583"/>
      <c r="L16" s="582"/>
      <c r="M16" s="583"/>
      <c r="N16" s="582"/>
      <c r="O16" s="583"/>
      <c r="P16" s="582"/>
      <c r="Q16" s="583"/>
      <c r="R16" s="582"/>
      <c r="S16" s="583"/>
      <c r="T16" s="582"/>
      <c r="U16" s="583"/>
      <c r="V16" s="17"/>
      <c r="W16" s="364"/>
      <c r="X16" s="17"/>
      <c r="Y16" s="364"/>
      <c r="Z16" s="17"/>
      <c r="AA16" s="364"/>
      <c r="AB16" s="17"/>
      <c r="AC16" s="364"/>
      <c r="AD16" s="17"/>
      <c r="AE16" s="364"/>
      <c r="AF16" s="17"/>
      <c r="AG16" s="364"/>
      <c r="AH16" s="17"/>
      <c r="AI16" s="364"/>
      <c r="AJ16" s="332"/>
      <c r="AK16" s="332"/>
      <c r="AL16" s="17"/>
      <c r="AM16" s="364"/>
      <c r="AN16" s="983">
        <f>SUM(B16,D16,F16,H16,J16,L16,N16,P16,R16,T16,V16,X16,Z16,AB16,AD16,AF16,AH16,AL16,AJ16)</f>
        <v>24</v>
      </c>
      <c r="AO16" s="984">
        <f>SUM(C16,E16,G16,I16,K16,M16,O16,Q16,S16,U16,W16,Y16,AA16,AC16,AE16,AG16,AI16,AM16,AK16)</f>
        <v>4566.4</v>
      </c>
    </row>
    <row r="17" spans="1:41" s="56" customFormat="1" ht="27" customHeight="1">
      <c r="A17" s="1128" t="s">
        <v>23</v>
      </c>
      <c r="B17" s="206"/>
      <c r="C17" s="1148"/>
      <c r="D17" s="1149"/>
      <c r="E17" s="1148"/>
      <c r="F17" s="206"/>
      <c r="G17" s="1148"/>
      <c r="H17" s="1150"/>
      <c r="I17" s="1151"/>
      <c r="J17" s="1149"/>
      <c r="K17" s="1152"/>
      <c r="L17" s="12"/>
      <c r="M17" s="368"/>
      <c r="N17" s="12"/>
      <c r="O17" s="368"/>
      <c r="P17" s="12"/>
      <c r="Q17" s="368"/>
      <c r="R17" s="12"/>
      <c r="S17" s="368"/>
      <c r="T17" s="12"/>
      <c r="U17" s="368"/>
      <c r="V17" s="11"/>
      <c r="W17" s="363"/>
      <c r="X17" s="11"/>
      <c r="Y17" s="363"/>
      <c r="Z17" s="11"/>
      <c r="AA17" s="363"/>
      <c r="AB17" s="11"/>
      <c r="AC17" s="363"/>
      <c r="AD17" s="11"/>
      <c r="AE17" s="363"/>
      <c r="AF17" s="11"/>
      <c r="AG17" s="363"/>
      <c r="AH17" s="11"/>
      <c r="AI17" s="363"/>
      <c r="AJ17" s="299"/>
      <c r="AK17" s="299"/>
      <c r="AL17" s="11"/>
      <c r="AM17" s="363"/>
      <c r="AN17" s="982"/>
      <c r="AO17" s="739"/>
    </row>
    <row r="18" spans="1:41" s="56" customFormat="1" ht="27" customHeight="1">
      <c r="A18" s="1144" t="s">
        <v>270</v>
      </c>
      <c r="B18" s="137"/>
      <c r="C18" s="333"/>
      <c r="D18" s="12"/>
      <c r="E18" s="333"/>
      <c r="F18" s="137"/>
      <c r="G18" s="333"/>
      <c r="H18" s="15"/>
      <c r="I18" s="835"/>
      <c r="J18" s="12"/>
      <c r="K18" s="368"/>
      <c r="L18" s="12"/>
      <c r="M18" s="368"/>
      <c r="N18" s="12"/>
      <c r="O18" s="368"/>
      <c r="P18" s="12"/>
      <c r="Q18" s="368"/>
      <c r="R18" s="12"/>
      <c r="S18" s="368"/>
      <c r="T18" s="12"/>
      <c r="U18" s="368"/>
      <c r="V18" s="11"/>
      <c r="W18" s="363"/>
      <c r="X18" s="11"/>
      <c r="Y18" s="363"/>
      <c r="Z18" s="11"/>
      <c r="AA18" s="363"/>
      <c r="AB18" s="11"/>
      <c r="AC18" s="363"/>
      <c r="AD18" s="11"/>
      <c r="AE18" s="363"/>
      <c r="AF18" s="11"/>
      <c r="AG18" s="363"/>
      <c r="AH18" s="11"/>
      <c r="AI18" s="363"/>
      <c r="AJ18" s="299"/>
      <c r="AK18" s="299"/>
      <c r="AL18" s="11"/>
      <c r="AM18" s="363"/>
      <c r="AN18" s="981">
        <f>SUM(B18,D18,F18,H18,J18,L18,N18,P18,R18,T18,V18,X18,Z18,AB18,AD18,AF18,AH18,AL18,AJ18)</f>
        <v>0</v>
      </c>
      <c r="AO18" s="812">
        <f>SUM(C18,E18,G18,I18,K18,M18,O18,Q18,S18,U18,W18,Y18,AA18,AC18,AE18,AG18,AI18,AM18,AK18)</f>
        <v>0</v>
      </c>
    </row>
    <row r="19" spans="1:41" s="56" customFormat="1" ht="27" customHeight="1">
      <c r="A19" s="1144" t="s">
        <v>89</v>
      </c>
      <c r="B19" s="137"/>
      <c r="C19" s="333">
        <v>376</v>
      </c>
      <c r="D19" s="12"/>
      <c r="E19" s="333"/>
      <c r="F19" s="137"/>
      <c r="G19" s="333"/>
      <c r="H19" s="15"/>
      <c r="I19" s="835"/>
      <c r="J19" s="12"/>
      <c r="K19" s="368"/>
      <c r="L19" s="12"/>
      <c r="M19" s="368"/>
      <c r="N19" s="12"/>
      <c r="O19" s="368"/>
      <c r="P19" s="12"/>
      <c r="Q19" s="368"/>
      <c r="R19" s="12"/>
      <c r="S19" s="368"/>
      <c r="T19" s="12"/>
      <c r="U19" s="368"/>
      <c r="V19" s="11"/>
      <c r="W19" s="363">
        <v>409.6</v>
      </c>
      <c r="X19" s="11">
        <v>1</v>
      </c>
      <c r="Y19" s="363">
        <v>53.3</v>
      </c>
      <c r="Z19" s="11"/>
      <c r="AA19" s="363"/>
      <c r="AB19" s="11"/>
      <c r="AC19" s="363"/>
      <c r="AD19" s="11"/>
      <c r="AE19" s="363"/>
      <c r="AF19" s="11"/>
      <c r="AG19" s="363">
        <v>816</v>
      </c>
      <c r="AH19" s="11"/>
      <c r="AI19" s="363"/>
      <c r="AJ19" s="299"/>
      <c r="AK19" s="299"/>
      <c r="AL19" s="11"/>
      <c r="AM19" s="363"/>
      <c r="AN19" s="981">
        <f>SUM(B19,D19,F19,H19,J19,L19,N19,P19,R19,T19,V19,X19,Z19,AB19,AD19,AF19,AH19,AL19,AJ19)</f>
        <v>1</v>
      </c>
      <c r="AO19" s="812">
        <f>SUM(C19,E19,G19,I19,K19,M19,O19,Q19,S19,U19,W19,Y19,AA19,AC19,AE19,AG19,AI19,AM19,AK19)</f>
        <v>1654.9</v>
      </c>
    </row>
    <row r="20" spans="1:41" s="56" customFormat="1" ht="27" customHeight="1">
      <c r="A20" s="1144" t="s">
        <v>85</v>
      </c>
      <c r="B20" s="137">
        <v>3</v>
      </c>
      <c r="C20" s="333">
        <f>544.6+1673.6</f>
        <v>2218.2</v>
      </c>
      <c r="D20" s="12">
        <v>2</v>
      </c>
      <c r="E20" s="333">
        <v>648.3</v>
      </c>
      <c r="F20" s="137">
        <v>29</v>
      </c>
      <c r="G20" s="333">
        <v>1028.6</v>
      </c>
      <c r="H20" s="15">
        <v>7</v>
      </c>
      <c r="I20" s="835">
        <v>744</v>
      </c>
      <c r="J20" s="12">
        <v>1</v>
      </c>
      <c r="K20" s="368">
        <v>71.3</v>
      </c>
      <c r="L20" s="12"/>
      <c r="M20" s="368"/>
      <c r="N20" s="12">
        <v>1</v>
      </c>
      <c r="O20" s="368">
        <v>330.2</v>
      </c>
      <c r="P20" s="12">
        <v>1</v>
      </c>
      <c r="Q20" s="368">
        <v>66</v>
      </c>
      <c r="R20" s="12"/>
      <c r="S20" s="368"/>
      <c r="T20" s="12"/>
      <c r="U20" s="368"/>
      <c r="V20" s="11">
        <v>1</v>
      </c>
      <c r="W20" s="363">
        <v>390</v>
      </c>
      <c r="X20" s="11">
        <v>7</v>
      </c>
      <c r="Y20" s="363">
        <f>1329.8+4627.9</f>
        <v>5957.7</v>
      </c>
      <c r="Z20" s="11">
        <v>8</v>
      </c>
      <c r="AA20" s="363">
        <v>3622.2</v>
      </c>
      <c r="AB20" s="11">
        <v>9</v>
      </c>
      <c r="AC20" s="363">
        <v>9782.4</v>
      </c>
      <c r="AD20" s="11">
        <v>2</v>
      </c>
      <c r="AE20" s="363">
        <v>1355.1</v>
      </c>
      <c r="AF20" s="11">
        <v>1</v>
      </c>
      <c r="AG20" s="363">
        <v>610.5</v>
      </c>
      <c r="AH20" s="11"/>
      <c r="AI20" s="363"/>
      <c r="AJ20" s="299"/>
      <c r="AK20" s="299"/>
      <c r="AL20" s="11"/>
      <c r="AM20" s="363"/>
      <c r="AN20" s="981">
        <f aca="true" t="shared" si="2" ref="AN20:AO35">SUM(B20,D20,F20,H20,J20,L20,N20,P20,R20,T20,V20,X20,Z20,AB20,AD20,AF20,AH20,AL20,AJ20)</f>
        <v>72</v>
      </c>
      <c r="AO20" s="812">
        <f t="shared" si="2"/>
        <v>26824.5</v>
      </c>
    </row>
    <row r="21" spans="1:41" s="56" customFormat="1" ht="27" customHeight="1">
      <c r="A21" s="1144" t="s">
        <v>616</v>
      </c>
      <c r="B21" s="137"/>
      <c r="C21" s="333"/>
      <c r="D21" s="12"/>
      <c r="E21" s="333"/>
      <c r="F21" s="137"/>
      <c r="G21" s="333"/>
      <c r="H21" s="15"/>
      <c r="I21" s="835"/>
      <c r="J21" s="12"/>
      <c r="K21" s="368"/>
      <c r="L21" s="12"/>
      <c r="M21" s="368"/>
      <c r="N21" s="12"/>
      <c r="O21" s="368"/>
      <c r="P21" s="12"/>
      <c r="Q21" s="368"/>
      <c r="R21" s="12"/>
      <c r="S21" s="368"/>
      <c r="T21" s="12"/>
      <c r="U21" s="368"/>
      <c r="V21" s="11"/>
      <c r="W21" s="363"/>
      <c r="X21" s="11">
        <v>1</v>
      </c>
      <c r="Y21" s="363">
        <v>165</v>
      </c>
      <c r="Z21" s="11"/>
      <c r="AA21" s="363"/>
      <c r="AB21" s="11"/>
      <c r="AC21" s="363"/>
      <c r="AD21" s="11"/>
      <c r="AE21" s="363"/>
      <c r="AF21" s="11"/>
      <c r="AG21" s="363"/>
      <c r="AH21" s="11"/>
      <c r="AI21" s="363"/>
      <c r="AJ21" s="873"/>
      <c r="AK21" s="299"/>
      <c r="AL21" s="11"/>
      <c r="AM21" s="363"/>
      <c r="AN21" s="981">
        <f t="shared" si="2"/>
        <v>1</v>
      </c>
      <c r="AO21" s="812">
        <f t="shared" si="2"/>
        <v>165</v>
      </c>
    </row>
    <row r="22" spans="1:41" s="56" customFormat="1" ht="27" customHeight="1">
      <c r="A22" s="1144" t="s">
        <v>617</v>
      </c>
      <c r="B22" s="137"/>
      <c r="C22" s="333"/>
      <c r="D22" s="12"/>
      <c r="E22" s="333"/>
      <c r="F22" s="137"/>
      <c r="G22" s="333"/>
      <c r="H22" s="15"/>
      <c r="I22" s="835"/>
      <c r="J22" s="12"/>
      <c r="K22" s="368"/>
      <c r="L22" s="12"/>
      <c r="M22" s="368"/>
      <c r="N22" s="12"/>
      <c r="O22" s="368"/>
      <c r="P22" s="12"/>
      <c r="Q22" s="368"/>
      <c r="R22" s="12"/>
      <c r="S22" s="368"/>
      <c r="T22" s="12"/>
      <c r="U22" s="368"/>
      <c r="V22" s="11"/>
      <c r="W22" s="363"/>
      <c r="X22" s="11">
        <v>1</v>
      </c>
      <c r="Y22" s="363">
        <v>165</v>
      </c>
      <c r="Z22" s="11"/>
      <c r="AA22" s="363"/>
      <c r="AB22" s="11"/>
      <c r="AC22" s="363"/>
      <c r="AD22" s="11"/>
      <c r="AE22" s="363"/>
      <c r="AF22" s="11"/>
      <c r="AG22" s="363"/>
      <c r="AH22" s="11"/>
      <c r="AI22" s="363"/>
      <c r="AJ22" s="873"/>
      <c r="AK22" s="299"/>
      <c r="AL22" s="11"/>
      <c r="AM22" s="363"/>
      <c r="AN22" s="981">
        <f t="shared" si="2"/>
        <v>1</v>
      </c>
      <c r="AO22" s="812">
        <f t="shared" si="2"/>
        <v>165</v>
      </c>
    </row>
    <row r="23" spans="1:41" s="86" customFormat="1" ht="27" customHeight="1">
      <c r="A23" s="561" t="s">
        <v>655</v>
      </c>
      <c r="B23" s="137"/>
      <c r="C23" s="333">
        <v>269.7</v>
      </c>
      <c r="D23" s="12"/>
      <c r="E23" s="333"/>
      <c r="F23" s="137"/>
      <c r="G23" s="333"/>
      <c r="H23" s="15"/>
      <c r="I23" s="835"/>
      <c r="J23" s="12"/>
      <c r="K23" s="368"/>
      <c r="L23" s="12"/>
      <c r="M23" s="368"/>
      <c r="N23" s="12"/>
      <c r="O23" s="368"/>
      <c r="P23" s="12"/>
      <c r="Q23" s="368"/>
      <c r="R23" s="12"/>
      <c r="S23" s="368"/>
      <c r="T23" s="12"/>
      <c r="U23" s="368"/>
      <c r="V23" s="11"/>
      <c r="W23" s="363"/>
      <c r="X23" s="11"/>
      <c r="Y23" s="363"/>
      <c r="Z23" s="11"/>
      <c r="AA23" s="363"/>
      <c r="AB23" s="11"/>
      <c r="AC23" s="363"/>
      <c r="AD23" s="11"/>
      <c r="AE23" s="363"/>
      <c r="AF23" s="11"/>
      <c r="AG23" s="363"/>
      <c r="AH23" s="11"/>
      <c r="AI23" s="363"/>
      <c r="AJ23" s="299"/>
      <c r="AK23" s="299"/>
      <c r="AL23" s="11"/>
      <c r="AM23" s="363"/>
      <c r="AN23" s="981">
        <f t="shared" si="2"/>
        <v>0</v>
      </c>
      <c r="AO23" s="812">
        <f t="shared" si="2"/>
        <v>269.7</v>
      </c>
    </row>
    <row r="24" spans="1:41" s="86" customFormat="1" ht="27" customHeight="1">
      <c r="A24" s="561" t="s">
        <v>110</v>
      </c>
      <c r="B24" s="137"/>
      <c r="C24" s="333"/>
      <c r="D24" s="12"/>
      <c r="E24" s="333"/>
      <c r="F24" s="137"/>
      <c r="G24" s="333"/>
      <c r="H24" s="15"/>
      <c r="I24" s="835"/>
      <c r="J24" s="12"/>
      <c r="K24" s="368"/>
      <c r="L24" s="12"/>
      <c r="M24" s="368"/>
      <c r="N24" s="12"/>
      <c r="O24" s="368"/>
      <c r="P24" s="12"/>
      <c r="Q24" s="368"/>
      <c r="R24" s="12"/>
      <c r="S24" s="368"/>
      <c r="T24" s="12"/>
      <c r="U24" s="368"/>
      <c r="V24" s="11"/>
      <c r="W24" s="363"/>
      <c r="X24" s="11">
        <v>1</v>
      </c>
      <c r="Y24" s="363">
        <v>165</v>
      </c>
      <c r="Z24" s="11"/>
      <c r="AA24" s="363"/>
      <c r="AB24" s="11"/>
      <c r="AC24" s="363"/>
      <c r="AD24" s="11"/>
      <c r="AE24" s="363"/>
      <c r="AF24" s="11"/>
      <c r="AG24" s="363"/>
      <c r="AH24" s="11"/>
      <c r="AI24" s="363"/>
      <c r="AJ24" s="299"/>
      <c r="AK24" s="299"/>
      <c r="AL24" s="11"/>
      <c r="AM24" s="363"/>
      <c r="AN24" s="981">
        <f t="shared" si="2"/>
        <v>1</v>
      </c>
      <c r="AO24" s="812">
        <f t="shared" si="2"/>
        <v>165</v>
      </c>
    </row>
    <row r="25" spans="1:41" s="86" customFormat="1" ht="27" customHeight="1">
      <c r="A25" s="561" t="s">
        <v>90</v>
      </c>
      <c r="B25" s="137"/>
      <c r="C25" s="333"/>
      <c r="D25" s="12"/>
      <c r="E25" s="333"/>
      <c r="F25" s="137"/>
      <c r="G25" s="333"/>
      <c r="H25" s="15"/>
      <c r="I25" s="835"/>
      <c r="J25" s="12"/>
      <c r="K25" s="368"/>
      <c r="L25" s="12"/>
      <c r="M25" s="368"/>
      <c r="N25" s="12"/>
      <c r="O25" s="368"/>
      <c r="P25" s="12"/>
      <c r="Q25" s="368"/>
      <c r="R25" s="12"/>
      <c r="S25" s="368"/>
      <c r="T25" s="12"/>
      <c r="U25" s="368"/>
      <c r="V25" s="11"/>
      <c r="W25" s="363"/>
      <c r="X25" s="11"/>
      <c r="Y25" s="363"/>
      <c r="Z25" s="11">
        <v>1</v>
      </c>
      <c r="AA25" s="363">
        <v>54.6</v>
      </c>
      <c r="AB25" s="11"/>
      <c r="AC25" s="363"/>
      <c r="AD25" s="11"/>
      <c r="AE25" s="363"/>
      <c r="AF25" s="11"/>
      <c r="AG25" s="363"/>
      <c r="AH25" s="11"/>
      <c r="AI25" s="363"/>
      <c r="AJ25" s="299"/>
      <c r="AK25" s="299"/>
      <c r="AL25" s="11"/>
      <c r="AM25" s="363"/>
      <c r="AN25" s="981">
        <f t="shared" si="2"/>
        <v>1</v>
      </c>
      <c r="AO25" s="812">
        <f t="shared" si="2"/>
        <v>54.6</v>
      </c>
    </row>
    <row r="26" spans="1:41" s="86" customFormat="1" ht="27" customHeight="1">
      <c r="A26" s="561" t="s">
        <v>656</v>
      </c>
      <c r="B26" s="137"/>
      <c r="C26" s="333"/>
      <c r="D26" s="12"/>
      <c r="E26" s="333"/>
      <c r="F26" s="137"/>
      <c r="G26" s="333"/>
      <c r="H26" s="15"/>
      <c r="I26" s="835"/>
      <c r="J26" s="12"/>
      <c r="K26" s="368"/>
      <c r="L26" s="12"/>
      <c r="M26" s="368"/>
      <c r="N26" s="12"/>
      <c r="O26" s="368"/>
      <c r="P26" s="12"/>
      <c r="Q26" s="368"/>
      <c r="R26" s="12"/>
      <c r="S26" s="368"/>
      <c r="T26" s="12"/>
      <c r="U26" s="368"/>
      <c r="V26" s="11"/>
      <c r="W26" s="363"/>
      <c r="X26" s="11"/>
      <c r="Y26" s="363"/>
      <c r="Z26" s="11"/>
      <c r="AA26" s="363"/>
      <c r="AB26" s="11"/>
      <c r="AC26" s="363"/>
      <c r="AD26" s="11"/>
      <c r="AE26" s="363"/>
      <c r="AF26" s="11"/>
      <c r="AG26" s="363"/>
      <c r="AH26" s="11"/>
      <c r="AI26" s="363"/>
      <c r="AJ26" s="299"/>
      <c r="AK26" s="299"/>
      <c r="AL26" s="11"/>
      <c r="AM26" s="363"/>
      <c r="AN26" s="981">
        <f t="shared" si="2"/>
        <v>0</v>
      </c>
      <c r="AO26" s="812">
        <f t="shared" si="2"/>
        <v>0</v>
      </c>
    </row>
    <row r="27" spans="1:41" s="86" customFormat="1" ht="27" customHeight="1">
      <c r="A27" s="561" t="s">
        <v>111</v>
      </c>
      <c r="B27" s="137"/>
      <c r="C27" s="333"/>
      <c r="D27" s="12"/>
      <c r="E27" s="333"/>
      <c r="F27" s="137"/>
      <c r="G27" s="333"/>
      <c r="H27" s="15"/>
      <c r="I27" s="835"/>
      <c r="J27" s="12"/>
      <c r="K27" s="368"/>
      <c r="L27" s="12">
        <v>2</v>
      </c>
      <c r="M27" s="368">
        <v>203.6</v>
      </c>
      <c r="N27" s="12"/>
      <c r="O27" s="368"/>
      <c r="P27" s="12"/>
      <c r="Q27" s="368"/>
      <c r="R27" s="12"/>
      <c r="S27" s="368"/>
      <c r="T27" s="12"/>
      <c r="U27" s="368"/>
      <c r="V27" s="11"/>
      <c r="W27" s="363"/>
      <c r="X27" s="11"/>
      <c r="Y27" s="363"/>
      <c r="Z27" s="11"/>
      <c r="AA27" s="363"/>
      <c r="AB27" s="11"/>
      <c r="AC27" s="363"/>
      <c r="AD27" s="11"/>
      <c r="AE27" s="363"/>
      <c r="AF27" s="11"/>
      <c r="AG27" s="363"/>
      <c r="AH27" s="11"/>
      <c r="AI27" s="363"/>
      <c r="AJ27" s="299"/>
      <c r="AK27" s="299"/>
      <c r="AL27" s="11"/>
      <c r="AM27" s="363"/>
      <c r="AN27" s="981">
        <f t="shared" si="2"/>
        <v>2</v>
      </c>
      <c r="AO27" s="812">
        <f t="shared" si="2"/>
        <v>203.6</v>
      </c>
    </row>
    <row r="28" spans="1:41" s="86" customFormat="1" ht="27" customHeight="1">
      <c r="A28" s="561" t="s">
        <v>501</v>
      </c>
      <c r="B28" s="137"/>
      <c r="C28" s="333"/>
      <c r="D28" s="12"/>
      <c r="E28" s="333"/>
      <c r="F28" s="137"/>
      <c r="G28" s="333"/>
      <c r="H28" s="15"/>
      <c r="I28" s="835"/>
      <c r="J28" s="12"/>
      <c r="K28" s="368"/>
      <c r="L28" s="12"/>
      <c r="M28" s="368"/>
      <c r="N28" s="12"/>
      <c r="O28" s="368"/>
      <c r="P28" s="12"/>
      <c r="Q28" s="368"/>
      <c r="R28" s="12"/>
      <c r="S28" s="368"/>
      <c r="T28" s="12"/>
      <c r="U28" s="368"/>
      <c r="V28" s="11"/>
      <c r="W28" s="363"/>
      <c r="X28" s="11">
        <v>7</v>
      </c>
      <c r="Y28" s="363">
        <v>761.9</v>
      </c>
      <c r="Z28" s="11"/>
      <c r="AA28" s="363"/>
      <c r="AB28" s="11"/>
      <c r="AC28" s="363"/>
      <c r="AD28" s="11"/>
      <c r="AE28" s="363"/>
      <c r="AF28" s="11"/>
      <c r="AG28" s="363"/>
      <c r="AH28" s="11"/>
      <c r="AI28" s="363"/>
      <c r="AJ28" s="299"/>
      <c r="AK28" s="299"/>
      <c r="AL28" s="11"/>
      <c r="AM28" s="363"/>
      <c r="AN28" s="981">
        <f t="shared" si="2"/>
        <v>7</v>
      </c>
      <c r="AO28" s="812">
        <f t="shared" si="2"/>
        <v>761.9</v>
      </c>
    </row>
    <row r="29" spans="1:41" s="86" customFormat="1" ht="27" customHeight="1">
      <c r="A29" s="1153" t="s">
        <v>91</v>
      </c>
      <c r="B29" s="137"/>
      <c r="C29" s="333"/>
      <c r="D29" s="12"/>
      <c r="E29" s="333"/>
      <c r="F29" s="137">
        <v>8</v>
      </c>
      <c r="G29" s="333">
        <v>331.1</v>
      </c>
      <c r="H29" s="15"/>
      <c r="I29" s="835"/>
      <c r="J29" s="12"/>
      <c r="K29" s="368"/>
      <c r="L29" s="12"/>
      <c r="M29" s="368"/>
      <c r="N29" s="12"/>
      <c r="O29" s="368"/>
      <c r="P29" s="12"/>
      <c r="Q29" s="368"/>
      <c r="R29" s="12"/>
      <c r="S29" s="368"/>
      <c r="T29" s="12"/>
      <c r="U29" s="368"/>
      <c r="V29" s="11"/>
      <c r="W29" s="363"/>
      <c r="X29" s="11"/>
      <c r="Y29" s="363"/>
      <c r="Z29" s="11"/>
      <c r="AA29" s="363"/>
      <c r="AB29" s="11"/>
      <c r="AC29" s="363"/>
      <c r="AD29" s="11"/>
      <c r="AE29" s="363"/>
      <c r="AF29" s="11"/>
      <c r="AG29" s="363"/>
      <c r="AH29" s="11"/>
      <c r="AI29" s="363"/>
      <c r="AJ29" s="299"/>
      <c r="AK29" s="299"/>
      <c r="AL29" s="11"/>
      <c r="AM29" s="363"/>
      <c r="AN29" s="981">
        <f t="shared" si="2"/>
        <v>8</v>
      </c>
      <c r="AO29" s="812">
        <f t="shared" si="2"/>
        <v>331.1</v>
      </c>
    </row>
    <row r="30" spans="1:41" s="86" customFormat="1" ht="27" customHeight="1">
      <c r="A30" s="1154" t="s">
        <v>657</v>
      </c>
      <c r="B30" s="208"/>
      <c r="C30" s="593"/>
      <c r="D30" s="582"/>
      <c r="E30" s="593"/>
      <c r="F30" s="208"/>
      <c r="G30" s="593"/>
      <c r="H30" s="18"/>
      <c r="I30" s="836"/>
      <c r="J30" s="582"/>
      <c r="K30" s="583"/>
      <c r="L30" s="582">
        <v>2</v>
      </c>
      <c r="M30" s="583">
        <v>112.4</v>
      </c>
      <c r="N30" s="582"/>
      <c r="O30" s="583"/>
      <c r="P30" s="582"/>
      <c r="Q30" s="583"/>
      <c r="R30" s="582"/>
      <c r="S30" s="583"/>
      <c r="T30" s="582"/>
      <c r="U30" s="583"/>
      <c r="V30" s="17"/>
      <c r="W30" s="364"/>
      <c r="X30" s="17"/>
      <c r="Y30" s="364"/>
      <c r="Z30" s="17"/>
      <c r="AA30" s="364"/>
      <c r="AB30" s="17"/>
      <c r="AC30" s="364"/>
      <c r="AD30" s="17"/>
      <c r="AE30" s="364"/>
      <c r="AF30" s="17"/>
      <c r="AG30" s="364"/>
      <c r="AH30" s="17"/>
      <c r="AI30" s="364"/>
      <c r="AJ30" s="332"/>
      <c r="AK30" s="332"/>
      <c r="AL30" s="17"/>
      <c r="AM30" s="364"/>
      <c r="AN30" s="983">
        <f t="shared" si="2"/>
        <v>2</v>
      </c>
      <c r="AO30" s="984">
        <f t="shared" si="2"/>
        <v>112.4</v>
      </c>
    </row>
    <row r="31" spans="1:41" s="86" customFormat="1" ht="27" customHeight="1">
      <c r="A31" s="1128" t="s">
        <v>32</v>
      </c>
      <c r="B31" s="206"/>
      <c r="C31" s="1148"/>
      <c r="D31" s="1149"/>
      <c r="E31" s="1148"/>
      <c r="F31" s="206"/>
      <c r="G31" s="1148"/>
      <c r="H31" s="1150"/>
      <c r="I31" s="1151"/>
      <c r="J31" s="1149"/>
      <c r="K31" s="1152"/>
      <c r="L31" s="12"/>
      <c r="M31" s="368"/>
      <c r="N31" s="12"/>
      <c r="O31" s="368"/>
      <c r="P31" s="12"/>
      <c r="Q31" s="368"/>
      <c r="R31" s="12"/>
      <c r="S31" s="368"/>
      <c r="T31" s="12"/>
      <c r="U31" s="368"/>
      <c r="V31" s="11"/>
      <c r="W31" s="363"/>
      <c r="X31" s="11"/>
      <c r="Y31" s="363"/>
      <c r="Z31" s="11"/>
      <c r="AA31" s="363"/>
      <c r="AB31" s="11"/>
      <c r="AC31" s="363"/>
      <c r="AD31" s="11"/>
      <c r="AE31" s="363"/>
      <c r="AF31" s="11"/>
      <c r="AG31" s="363"/>
      <c r="AH31" s="11"/>
      <c r="AI31" s="363"/>
      <c r="AJ31" s="299"/>
      <c r="AK31" s="299"/>
      <c r="AL31" s="11"/>
      <c r="AM31" s="363"/>
      <c r="AN31" s="981">
        <f t="shared" si="2"/>
        <v>0</v>
      </c>
      <c r="AO31" s="812">
        <f t="shared" si="2"/>
        <v>0</v>
      </c>
    </row>
    <row r="32" spans="1:41" s="86" customFormat="1" ht="27" customHeight="1">
      <c r="A32" s="561" t="s">
        <v>618</v>
      </c>
      <c r="B32" s="137"/>
      <c r="C32" s="333"/>
      <c r="D32" s="12"/>
      <c r="E32" s="333"/>
      <c r="F32" s="137"/>
      <c r="G32" s="333"/>
      <c r="H32" s="15"/>
      <c r="I32" s="835"/>
      <c r="J32" s="12"/>
      <c r="K32" s="368"/>
      <c r="L32" s="12"/>
      <c r="M32" s="368"/>
      <c r="N32" s="12"/>
      <c r="O32" s="368"/>
      <c r="P32" s="12"/>
      <c r="Q32" s="368"/>
      <c r="R32" s="12"/>
      <c r="S32" s="368"/>
      <c r="T32" s="12"/>
      <c r="U32" s="368"/>
      <c r="V32" s="11"/>
      <c r="W32" s="363"/>
      <c r="X32" s="11"/>
      <c r="Y32" s="363"/>
      <c r="Z32" s="11"/>
      <c r="AA32" s="363"/>
      <c r="AB32" s="11"/>
      <c r="AC32" s="363"/>
      <c r="AD32" s="11">
        <v>1</v>
      </c>
      <c r="AE32" s="363">
        <v>192.2</v>
      </c>
      <c r="AF32" s="11"/>
      <c r="AG32" s="363"/>
      <c r="AH32" s="11"/>
      <c r="AI32" s="363"/>
      <c r="AJ32" s="299"/>
      <c r="AK32" s="299"/>
      <c r="AL32" s="11"/>
      <c r="AM32" s="363"/>
      <c r="AN32" s="981">
        <f t="shared" si="2"/>
        <v>1</v>
      </c>
      <c r="AO32" s="812">
        <f t="shared" si="2"/>
        <v>192.2</v>
      </c>
    </row>
    <row r="33" spans="1:41" s="86" customFormat="1" ht="27" customHeight="1">
      <c r="A33" s="561" t="s">
        <v>378</v>
      </c>
      <c r="B33" s="137"/>
      <c r="C33" s="333"/>
      <c r="D33" s="12"/>
      <c r="E33" s="333"/>
      <c r="F33" s="137"/>
      <c r="G33" s="333"/>
      <c r="H33" s="15"/>
      <c r="I33" s="835"/>
      <c r="J33" s="12"/>
      <c r="K33" s="368"/>
      <c r="L33" s="12"/>
      <c r="M33" s="368"/>
      <c r="N33" s="12"/>
      <c r="O33" s="368"/>
      <c r="P33" s="12"/>
      <c r="Q33" s="368"/>
      <c r="R33" s="12"/>
      <c r="S33" s="368"/>
      <c r="T33" s="12"/>
      <c r="U33" s="368"/>
      <c r="V33" s="11"/>
      <c r="W33" s="363"/>
      <c r="X33" s="11">
        <v>2</v>
      </c>
      <c r="Y33" s="363">
        <v>330</v>
      </c>
      <c r="Z33" s="11"/>
      <c r="AA33" s="363"/>
      <c r="AB33" s="11"/>
      <c r="AC33" s="363"/>
      <c r="AD33" s="11">
        <v>16</v>
      </c>
      <c r="AE33" s="363">
        <v>3116.3</v>
      </c>
      <c r="AF33" s="11"/>
      <c r="AG33" s="363"/>
      <c r="AH33" s="11">
        <v>1</v>
      </c>
      <c r="AI33" s="363">
        <v>236.1</v>
      </c>
      <c r="AJ33" s="299"/>
      <c r="AK33" s="299"/>
      <c r="AL33" s="11"/>
      <c r="AM33" s="363"/>
      <c r="AN33" s="981">
        <f t="shared" si="2"/>
        <v>19</v>
      </c>
      <c r="AO33" s="812">
        <f t="shared" si="2"/>
        <v>3682.4</v>
      </c>
    </row>
    <row r="34" spans="1:41" s="86" customFormat="1" ht="27" customHeight="1">
      <c r="A34" s="561" t="s">
        <v>380</v>
      </c>
      <c r="B34" s="137"/>
      <c r="C34" s="333"/>
      <c r="D34" s="12"/>
      <c r="E34" s="333"/>
      <c r="F34" s="137"/>
      <c r="G34" s="333"/>
      <c r="H34" s="15"/>
      <c r="I34" s="835"/>
      <c r="J34" s="12"/>
      <c r="K34" s="368"/>
      <c r="L34" s="12"/>
      <c r="M34" s="368"/>
      <c r="N34" s="12"/>
      <c r="O34" s="368"/>
      <c r="P34" s="12"/>
      <c r="Q34" s="368"/>
      <c r="R34" s="12"/>
      <c r="S34" s="368"/>
      <c r="T34" s="12"/>
      <c r="U34" s="368"/>
      <c r="V34" s="11"/>
      <c r="W34" s="363"/>
      <c r="X34" s="11"/>
      <c r="Y34" s="363"/>
      <c r="Z34" s="11"/>
      <c r="AA34" s="363"/>
      <c r="AB34" s="11"/>
      <c r="AC34" s="363"/>
      <c r="AD34" s="11">
        <v>1</v>
      </c>
      <c r="AE34" s="363">
        <v>286.7</v>
      </c>
      <c r="AF34" s="11"/>
      <c r="AG34" s="363"/>
      <c r="AH34" s="11">
        <v>2</v>
      </c>
      <c r="AI34" s="363">
        <v>439.3</v>
      </c>
      <c r="AJ34" s="299"/>
      <c r="AK34" s="299"/>
      <c r="AL34" s="11"/>
      <c r="AM34" s="363"/>
      <c r="AN34" s="981">
        <f t="shared" si="2"/>
        <v>3</v>
      </c>
      <c r="AO34" s="812">
        <f t="shared" si="2"/>
        <v>726</v>
      </c>
    </row>
    <row r="35" spans="1:41" s="86" customFormat="1" ht="27" customHeight="1">
      <c r="A35" s="561" t="s">
        <v>619</v>
      </c>
      <c r="B35" s="137"/>
      <c r="C35" s="333"/>
      <c r="D35" s="12"/>
      <c r="E35" s="333"/>
      <c r="F35" s="137"/>
      <c r="G35" s="333"/>
      <c r="H35" s="15"/>
      <c r="I35" s="835"/>
      <c r="J35" s="12"/>
      <c r="K35" s="368"/>
      <c r="L35" s="12"/>
      <c r="M35" s="368"/>
      <c r="N35" s="12"/>
      <c r="O35" s="368"/>
      <c r="P35" s="12"/>
      <c r="Q35" s="368"/>
      <c r="R35" s="12"/>
      <c r="S35" s="368"/>
      <c r="T35" s="12"/>
      <c r="U35" s="368"/>
      <c r="V35" s="11"/>
      <c r="W35" s="363"/>
      <c r="X35" s="11">
        <v>1</v>
      </c>
      <c r="Y35" s="363">
        <v>165</v>
      </c>
      <c r="Z35" s="11"/>
      <c r="AA35" s="363"/>
      <c r="AB35" s="11"/>
      <c r="AC35" s="363"/>
      <c r="AD35" s="11">
        <v>3</v>
      </c>
      <c r="AE35" s="363">
        <v>702.6</v>
      </c>
      <c r="AF35" s="11"/>
      <c r="AG35" s="363"/>
      <c r="AH35" s="11"/>
      <c r="AI35" s="363"/>
      <c r="AJ35" s="299"/>
      <c r="AK35" s="299"/>
      <c r="AL35" s="11"/>
      <c r="AM35" s="363"/>
      <c r="AN35" s="981">
        <f t="shared" si="2"/>
        <v>4</v>
      </c>
      <c r="AO35" s="812">
        <f t="shared" si="2"/>
        <v>867.6</v>
      </c>
    </row>
    <row r="36" spans="1:41" s="86" customFormat="1" ht="27" customHeight="1">
      <c r="A36" s="561" t="s">
        <v>391</v>
      </c>
      <c r="B36" s="137"/>
      <c r="C36" s="333"/>
      <c r="D36" s="12"/>
      <c r="E36" s="333"/>
      <c r="F36" s="137"/>
      <c r="G36" s="333"/>
      <c r="H36" s="15"/>
      <c r="I36" s="835"/>
      <c r="J36" s="12"/>
      <c r="K36" s="368"/>
      <c r="L36" s="12"/>
      <c r="M36" s="368"/>
      <c r="N36" s="12"/>
      <c r="O36" s="368"/>
      <c r="P36" s="12"/>
      <c r="Q36" s="368"/>
      <c r="R36" s="12"/>
      <c r="S36" s="368"/>
      <c r="T36" s="12"/>
      <c r="U36" s="368"/>
      <c r="V36" s="11"/>
      <c r="W36" s="363"/>
      <c r="X36" s="11"/>
      <c r="Y36" s="363"/>
      <c r="Z36" s="11"/>
      <c r="AA36" s="363"/>
      <c r="AB36" s="11"/>
      <c r="AC36" s="363"/>
      <c r="AD36" s="11">
        <v>2</v>
      </c>
      <c r="AE36" s="363">
        <v>511.4</v>
      </c>
      <c r="AF36" s="11"/>
      <c r="AG36" s="363"/>
      <c r="AH36" s="11">
        <v>1</v>
      </c>
      <c r="AI36" s="363">
        <v>247</v>
      </c>
      <c r="AJ36" s="299"/>
      <c r="AK36" s="299"/>
      <c r="AL36" s="11"/>
      <c r="AM36" s="363"/>
      <c r="AN36" s="981">
        <f aca="true" t="shared" si="3" ref="AN36:AO51">SUM(B36,D36,F36,H36,J36,L36,N36,P36,R36,T36,V36,X36,Z36,AB36,AD36,AF36,AH36,AL36,AJ36)</f>
        <v>3</v>
      </c>
      <c r="AO36" s="812">
        <f t="shared" si="3"/>
        <v>758.4</v>
      </c>
    </row>
    <row r="37" spans="1:41" s="86" customFormat="1" ht="27" customHeight="1">
      <c r="A37" s="561" t="s">
        <v>620</v>
      </c>
      <c r="B37" s="137"/>
      <c r="C37" s="333"/>
      <c r="D37" s="12"/>
      <c r="E37" s="333"/>
      <c r="F37" s="137"/>
      <c r="G37" s="333"/>
      <c r="H37" s="15"/>
      <c r="I37" s="835"/>
      <c r="J37" s="12"/>
      <c r="K37" s="368"/>
      <c r="L37" s="12"/>
      <c r="M37" s="368"/>
      <c r="N37" s="12"/>
      <c r="O37" s="368"/>
      <c r="P37" s="12"/>
      <c r="Q37" s="368"/>
      <c r="R37" s="12"/>
      <c r="S37" s="368"/>
      <c r="T37" s="12"/>
      <c r="U37" s="368"/>
      <c r="V37" s="11"/>
      <c r="W37" s="363"/>
      <c r="X37" s="11"/>
      <c r="Y37" s="363"/>
      <c r="Z37" s="11"/>
      <c r="AA37" s="363"/>
      <c r="AB37" s="11"/>
      <c r="AC37" s="363"/>
      <c r="AD37" s="11">
        <v>11</v>
      </c>
      <c r="AE37" s="363">
        <v>2435.9</v>
      </c>
      <c r="AF37" s="11"/>
      <c r="AG37" s="363"/>
      <c r="AH37" s="11"/>
      <c r="AI37" s="363"/>
      <c r="AJ37" s="299"/>
      <c r="AK37" s="299"/>
      <c r="AL37" s="11"/>
      <c r="AM37" s="363"/>
      <c r="AN37" s="981">
        <f t="shared" si="3"/>
        <v>11</v>
      </c>
      <c r="AO37" s="812">
        <f t="shared" si="3"/>
        <v>2435.9</v>
      </c>
    </row>
    <row r="38" spans="1:41" s="86" customFormat="1" ht="27" customHeight="1">
      <c r="A38" s="561" t="s">
        <v>621</v>
      </c>
      <c r="B38" s="137"/>
      <c r="C38" s="333"/>
      <c r="D38" s="12"/>
      <c r="E38" s="333"/>
      <c r="F38" s="137"/>
      <c r="G38" s="333"/>
      <c r="H38" s="15"/>
      <c r="I38" s="835"/>
      <c r="J38" s="12"/>
      <c r="K38" s="368"/>
      <c r="L38" s="12"/>
      <c r="M38" s="368"/>
      <c r="N38" s="12"/>
      <c r="O38" s="368"/>
      <c r="P38" s="12"/>
      <c r="Q38" s="368"/>
      <c r="R38" s="12"/>
      <c r="S38" s="368"/>
      <c r="T38" s="12"/>
      <c r="U38" s="368"/>
      <c r="V38" s="11"/>
      <c r="W38" s="363"/>
      <c r="X38" s="11"/>
      <c r="Y38" s="363"/>
      <c r="Z38" s="11"/>
      <c r="AA38" s="363"/>
      <c r="AB38" s="11"/>
      <c r="AC38" s="363"/>
      <c r="AD38" s="11"/>
      <c r="AE38" s="363"/>
      <c r="AF38" s="11"/>
      <c r="AG38" s="363"/>
      <c r="AH38" s="11">
        <v>1</v>
      </c>
      <c r="AI38" s="363">
        <v>143.6</v>
      </c>
      <c r="AJ38" s="299"/>
      <c r="AK38" s="299"/>
      <c r="AL38" s="11"/>
      <c r="AM38" s="363"/>
      <c r="AN38" s="981">
        <f t="shared" si="3"/>
        <v>1</v>
      </c>
      <c r="AO38" s="812">
        <f t="shared" si="3"/>
        <v>143.6</v>
      </c>
    </row>
    <row r="39" spans="1:41" s="86" customFormat="1" ht="27" customHeight="1">
      <c r="A39" s="561" t="s">
        <v>382</v>
      </c>
      <c r="B39" s="137"/>
      <c r="C39" s="333"/>
      <c r="D39" s="12"/>
      <c r="E39" s="333"/>
      <c r="F39" s="137"/>
      <c r="G39" s="333"/>
      <c r="H39" s="15"/>
      <c r="I39" s="835"/>
      <c r="J39" s="12"/>
      <c r="K39" s="368"/>
      <c r="L39" s="12"/>
      <c r="M39" s="368"/>
      <c r="N39" s="12"/>
      <c r="O39" s="368"/>
      <c r="P39" s="12"/>
      <c r="Q39" s="368"/>
      <c r="R39" s="12"/>
      <c r="S39" s="368"/>
      <c r="T39" s="12"/>
      <c r="U39" s="368"/>
      <c r="V39" s="11"/>
      <c r="W39" s="363"/>
      <c r="X39" s="11">
        <v>2</v>
      </c>
      <c r="Y39" s="363">
        <v>330</v>
      </c>
      <c r="Z39" s="11"/>
      <c r="AA39" s="363"/>
      <c r="AB39" s="11"/>
      <c r="AC39" s="363"/>
      <c r="AD39" s="11">
        <v>4</v>
      </c>
      <c r="AE39" s="363">
        <v>733</v>
      </c>
      <c r="AF39" s="11"/>
      <c r="AG39" s="363"/>
      <c r="AH39" s="11">
        <v>2</v>
      </c>
      <c r="AI39" s="363">
        <v>385.8</v>
      </c>
      <c r="AJ39" s="299"/>
      <c r="AK39" s="299"/>
      <c r="AL39" s="11"/>
      <c r="AM39" s="363"/>
      <c r="AN39" s="981">
        <f t="shared" si="3"/>
        <v>8</v>
      </c>
      <c r="AO39" s="812">
        <f t="shared" si="3"/>
        <v>1448.8</v>
      </c>
    </row>
    <row r="40" spans="1:41" s="86" customFormat="1" ht="27" customHeight="1">
      <c r="A40" s="561" t="s">
        <v>383</v>
      </c>
      <c r="B40" s="137"/>
      <c r="C40" s="333"/>
      <c r="D40" s="12"/>
      <c r="E40" s="333"/>
      <c r="F40" s="137"/>
      <c r="G40" s="333"/>
      <c r="H40" s="15"/>
      <c r="I40" s="835"/>
      <c r="J40" s="12"/>
      <c r="K40" s="368"/>
      <c r="L40" s="12"/>
      <c r="M40" s="368"/>
      <c r="N40" s="12"/>
      <c r="O40" s="368"/>
      <c r="P40" s="12"/>
      <c r="Q40" s="368"/>
      <c r="R40" s="12"/>
      <c r="S40" s="368"/>
      <c r="T40" s="12"/>
      <c r="U40" s="368"/>
      <c r="V40" s="11"/>
      <c r="W40" s="363"/>
      <c r="X40" s="11"/>
      <c r="Y40" s="363"/>
      <c r="Z40" s="11"/>
      <c r="AA40" s="363"/>
      <c r="AB40" s="11"/>
      <c r="AC40" s="363"/>
      <c r="AD40" s="11">
        <v>2</v>
      </c>
      <c r="AE40" s="363">
        <v>418.6</v>
      </c>
      <c r="AF40" s="11"/>
      <c r="AG40" s="363"/>
      <c r="AH40" s="11"/>
      <c r="AI40" s="363"/>
      <c r="AJ40" s="299"/>
      <c r="AK40" s="299"/>
      <c r="AL40" s="11"/>
      <c r="AM40" s="363"/>
      <c r="AN40" s="981">
        <f t="shared" si="3"/>
        <v>2</v>
      </c>
      <c r="AO40" s="812">
        <f t="shared" si="3"/>
        <v>418.6</v>
      </c>
    </row>
    <row r="41" spans="1:41" s="86" customFormat="1" ht="27" customHeight="1">
      <c r="A41" s="561" t="s">
        <v>384</v>
      </c>
      <c r="B41" s="137"/>
      <c r="C41" s="333"/>
      <c r="D41" s="12"/>
      <c r="E41" s="333"/>
      <c r="F41" s="137"/>
      <c r="G41" s="333"/>
      <c r="H41" s="15"/>
      <c r="I41" s="835"/>
      <c r="J41" s="12"/>
      <c r="K41" s="368"/>
      <c r="L41" s="12"/>
      <c r="M41" s="368"/>
      <c r="N41" s="12"/>
      <c r="O41" s="368"/>
      <c r="P41" s="12"/>
      <c r="Q41" s="368"/>
      <c r="R41" s="12"/>
      <c r="S41" s="368"/>
      <c r="T41" s="12"/>
      <c r="U41" s="368"/>
      <c r="V41" s="11"/>
      <c r="W41" s="363"/>
      <c r="X41" s="11">
        <v>1</v>
      </c>
      <c r="Y41" s="363">
        <f>165+808.4</f>
        <v>973.4</v>
      </c>
      <c r="Z41" s="11"/>
      <c r="AA41" s="363"/>
      <c r="AB41" s="11"/>
      <c r="AC41" s="363"/>
      <c r="AD41" s="11">
        <v>3</v>
      </c>
      <c r="AE41" s="363">
        <v>456.3</v>
      </c>
      <c r="AF41" s="11"/>
      <c r="AG41" s="363"/>
      <c r="AH41" s="11">
        <v>1</v>
      </c>
      <c r="AI41" s="363">
        <v>175.7</v>
      </c>
      <c r="AJ41" s="299"/>
      <c r="AK41" s="299"/>
      <c r="AL41" s="11"/>
      <c r="AM41" s="363"/>
      <c r="AN41" s="981">
        <f t="shared" si="3"/>
        <v>5</v>
      </c>
      <c r="AO41" s="812">
        <f t="shared" si="3"/>
        <v>1605.4</v>
      </c>
    </row>
    <row r="42" spans="1:41" s="86" customFormat="1" ht="27" customHeight="1">
      <c r="A42" s="745" t="s">
        <v>386</v>
      </c>
      <c r="B42" s="208"/>
      <c r="C42" s="593"/>
      <c r="D42" s="582"/>
      <c r="E42" s="593"/>
      <c r="F42" s="208"/>
      <c r="G42" s="593"/>
      <c r="H42" s="18"/>
      <c r="I42" s="836"/>
      <c r="J42" s="582"/>
      <c r="K42" s="583"/>
      <c r="L42" s="582"/>
      <c r="M42" s="583"/>
      <c r="N42" s="582"/>
      <c r="O42" s="583"/>
      <c r="P42" s="582"/>
      <c r="Q42" s="583"/>
      <c r="R42" s="582"/>
      <c r="S42" s="583"/>
      <c r="T42" s="582"/>
      <c r="U42" s="583"/>
      <c r="V42" s="17"/>
      <c r="W42" s="364"/>
      <c r="X42" s="17"/>
      <c r="Y42" s="364"/>
      <c r="Z42" s="17"/>
      <c r="AA42" s="364"/>
      <c r="AB42" s="17"/>
      <c r="AC42" s="364"/>
      <c r="AD42" s="17">
        <v>1</v>
      </c>
      <c r="AE42" s="364">
        <v>160.9</v>
      </c>
      <c r="AF42" s="17"/>
      <c r="AG42" s="364"/>
      <c r="AH42" s="17"/>
      <c r="AI42" s="364"/>
      <c r="AJ42" s="332"/>
      <c r="AK42" s="332"/>
      <c r="AL42" s="17"/>
      <c r="AM42" s="364"/>
      <c r="AN42" s="983">
        <f t="shared" si="3"/>
        <v>1</v>
      </c>
      <c r="AO42" s="984">
        <f t="shared" si="3"/>
        <v>160.9</v>
      </c>
    </row>
    <row r="43" spans="1:41" s="290" customFormat="1" ht="27" customHeight="1">
      <c r="A43" s="1128" t="s">
        <v>62</v>
      </c>
      <c r="B43" s="206"/>
      <c r="C43" s="344"/>
      <c r="D43" s="148"/>
      <c r="E43" s="344"/>
      <c r="F43" s="148"/>
      <c r="G43" s="344"/>
      <c r="H43" s="148"/>
      <c r="I43" s="837"/>
      <c r="J43" s="148"/>
      <c r="K43" s="837"/>
      <c r="L43" s="11"/>
      <c r="M43" s="363"/>
      <c r="N43" s="11"/>
      <c r="O43" s="363"/>
      <c r="P43" s="11"/>
      <c r="Q43" s="363"/>
      <c r="R43" s="11"/>
      <c r="S43" s="363"/>
      <c r="T43" s="11"/>
      <c r="U43" s="363"/>
      <c r="V43" s="11"/>
      <c r="W43" s="363"/>
      <c r="X43" s="11"/>
      <c r="Y43" s="363"/>
      <c r="Z43" s="11"/>
      <c r="AA43" s="363"/>
      <c r="AB43" s="11"/>
      <c r="AC43" s="363"/>
      <c r="AD43" s="11"/>
      <c r="AE43" s="363"/>
      <c r="AF43" s="11"/>
      <c r="AG43" s="363"/>
      <c r="AH43" s="11"/>
      <c r="AI43" s="363"/>
      <c r="AJ43" s="299"/>
      <c r="AK43" s="299"/>
      <c r="AL43" s="11"/>
      <c r="AM43" s="363"/>
      <c r="AN43" s="981"/>
      <c r="AO43" s="812"/>
    </row>
    <row r="44" spans="1:41" s="290" customFormat="1" ht="27" customHeight="1">
      <c r="A44" s="561" t="s">
        <v>622</v>
      </c>
      <c r="B44" s="137"/>
      <c r="C44" s="299"/>
      <c r="D44" s="11"/>
      <c r="E44" s="299"/>
      <c r="F44" s="11"/>
      <c r="G44" s="299"/>
      <c r="H44" s="11"/>
      <c r="I44" s="363"/>
      <c r="J44" s="11"/>
      <c r="K44" s="363"/>
      <c r="L44" s="11"/>
      <c r="M44" s="363"/>
      <c r="N44" s="11"/>
      <c r="O44" s="363"/>
      <c r="P44" s="11"/>
      <c r="Q44" s="363"/>
      <c r="R44" s="11"/>
      <c r="S44" s="363"/>
      <c r="T44" s="11"/>
      <c r="U44" s="363"/>
      <c r="V44" s="11"/>
      <c r="W44" s="363"/>
      <c r="X44" s="11"/>
      <c r="Y44" s="363"/>
      <c r="Z44" s="11"/>
      <c r="AA44" s="363"/>
      <c r="AB44" s="11"/>
      <c r="AC44" s="363"/>
      <c r="AD44" s="11"/>
      <c r="AE44" s="363"/>
      <c r="AF44" s="11"/>
      <c r="AG44" s="363"/>
      <c r="AH44" s="11"/>
      <c r="AI44" s="363"/>
      <c r="AJ44" s="299"/>
      <c r="AK44" s="299"/>
      <c r="AL44" s="11"/>
      <c r="AM44" s="363"/>
      <c r="AN44" s="981">
        <f>SUM(B44,D44,F44,H44,J44,L44,N44,P44,R44,T44,V44,X44,Z44,AB44,AD44,AF44,AH44,AL44,AJ44)</f>
        <v>0</v>
      </c>
      <c r="AO44" s="812">
        <f>SUM(C44,E44,G44,I44,K44,M44,O44,Q44,S44,U44,W44,Y44,AA44,AC44,AE44,AG44,AI44,AM44,AK44)</f>
        <v>0</v>
      </c>
    </row>
    <row r="45" spans="1:41" s="86" customFormat="1" ht="27" customHeight="1">
      <c r="A45" s="561" t="s">
        <v>226</v>
      </c>
      <c r="B45" s="137"/>
      <c r="C45" s="333"/>
      <c r="D45" s="12"/>
      <c r="E45" s="333"/>
      <c r="F45" s="137"/>
      <c r="G45" s="333"/>
      <c r="H45" s="15"/>
      <c r="I45" s="835"/>
      <c r="J45" s="12"/>
      <c r="K45" s="368"/>
      <c r="L45" s="12"/>
      <c r="M45" s="368"/>
      <c r="N45" s="12"/>
      <c r="O45" s="368"/>
      <c r="P45" s="12"/>
      <c r="Q45" s="368"/>
      <c r="R45" s="12"/>
      <c r="S45" s="368"/>
      <c r="T45" s="12"/>
      <c r="U45" s="368"/>
      <c r="V45" s="11"/>
      <c r="W45" s="363"/>
      <c r="X45" s="11">
        <v>2</v>
      </c>
      <c r="Y45" s="363">
        <v>270.8</v>
      </c>
      <c r="Z45" s="11"/>
      <c r="AA45" s="363"/>
      <c r="AB45" s="11"/>
      <c r="AC45" s="363"/>
      <c r="AD45" s="11"/>
      <c r="AE45" s="363"/>
      <c r="AF45" s="11"/>
      <c r="AG45" s="363"/>
      <c r="AH45" s="11"/>
      <c r="AI45" s="363"/>
      <c r="AJ45" s="299"/>
      <c r="AK45" s="299"/>
      <c r="AL45" s="11"/>
      <c r="AM45" s="363"/>
      <c r="AN45" s="981">
        <f t="shared" si="3"/>
        <v>2</v>
      </c>
      <c r="AO45" s="812">
        <f t="shared" si="3"/>
        <v>270.8</v>
      </c>
    </row>
    <row r="46" spans="1:41" s="86" customFormat="1" ht="27" customHeight="1">
      <c r="A46" s="1144" t="s">
        <v>623</v>
      </c>
      <c r="B46" s="137"/>
      <c r="C46" s="333"/>
      <c r="D46" s="12"/>
      <c r="E46" s="333"/>
      <c r="F46" s="137"/>
      <c r="G46" s="333"/>
      <c r="H46" s="15"/>
      <c r="I46" s="835"/>
      <c r="J46" s="12"/>
      <c r="K46" s="368"/>
      <c r="L46" s="12"/>
      <c r="M46" s="368"/>
      <c r="N46" s="12"/>
      <c r="O46" s="368"/>
      <c r="P46" s="12"/>
      <c r="Q46" s="368"/>
      <c r="R46" s="12"/>
      <c r="S46" s="368"/>
      <c r="T46" s="12"/>
      <c r="U46" s="368"/>
      <c r="V46" s="11"/>
      <c r="W46" s="363"/>
      <c r="X46" s="11">
        <v>1</v>
      </c>
      <c r="Y46" s="363">
        <v>165</v>
      </c>
      <c r="Z46" s="11"/>
      <c r="AA46" s="363"/>
      <c r="AB46" s="11"/>
      <c r="AC46" s="363"/>
      <c r="AD46" s="11"/>
      <c r="AE46" s="363"/>
      <c r="AF46" s="11"/>
      <c r="AG46" s="363"/>
      <c r="AH46" s="11"/>
      <c r="AI46" s="363"/>
      <c r="AJ46" s="299"/>
      <c r="AK46" s="299"/>
      <c r="AL46" s="11"/>
      <c r="AM46" s="363"/>
      <c r="AN46" s="981">
        <f t="shared" si="3"/>
        <v>1</v>
      </c>
      <c r="AO46" s="812">
        <f t="shared" si="3"/>
        <v>165</v>
      </c>
    </row>
    <row r="47" spans="1:41" s="86" customFormat="1" ht="27" customHeight="1">
      <c r="A47" s="561" t="s">
        <v>377</v>
      </c>
      <c r="B47" s="137"/>
      <c r="C47" s="333"/>
      <c r="D47" s="12"/>
      <c r="E47" s="333"/>
      <c r="F47" s="137"/>
      <c r="G47" s="333"/>
      <c r="H47" s="15"/>
      <c r="I47" s="835"/>
      <c r="J47" s="12"/>
      <c r="K47" s="368"/>
      <c r="L47" s="12"/>
      <c r="M47" s="368"/>
      <c r="N47" s="12"/>
      <c r="O47" s="368"/>
      <c r="P47" s="12"/>
      <c r="Q47" s="368"/>
      <c r="R47" s="12"/>
      <c r="S47" s="368"/>
      <c r="T47" s="12"/>
      <c r="U47" s="368"/>
      <c r="V47" s="11"/>
      <c r="W47" s="363"/>
      <c r="X47" s="11">
        <v>1</v>
      </c>
      <c r="Y47" s="363">
        <v>165</v>
      </c>
      <c r="Z47" s="11"/>
      <c r="AA47" s="363"/>
      <c r="AB47" s="11"/>
      <c r="AC47" s="363"/>
      <c r="AD47" s="11"/>
      <c r="AE47" s="363"/>
      <c r="AF47" s="11">
        <v>2</v>
      </c>
      <c r="AG47" s="363">
        <v>332.8</v>
      </c>
      <c r="AH47" s="11">
        <v>2</v>
      </c>
      <c r="AI47" s="363">
        <v>246.8</v>
      </c>
      <c r="AJ47" s="299"/>
      <c r="AK47" s="299"/>
      <c r="AL47" s="11"/>
      <c r="AM47" s="363"/>
      <c r="AN47" s="981">
        <f t="shared" si="3"/>
        <v>5</v>
      </c>
      <c r="AO47" s="812">
        <f t="shared" si="3"/>
        <v>744.6</v>
      </c>
    </row>
    <row r="48" spans="1:41" s="86" customFormat="1" ht="27" customHeight="1">
      <c r="A48" s="561" t="s">
        <v>624</v>
      </c>
      <c r="B48" s="137"/>
      <c r="C48" s="333"/>
      <c r="D48" s="12"/>
      <c r="E48" s="333"/>
      <c r="F48" s="137"/>
      <c r="G48" s="333"/>
      <c r="H48" s="15"/>
      <c r="I48" s="835"/>
      <c r="J48" s="12"/>
      <c r="K48" s="368"/>
      <c r="L48" s="12"/>
      <c r="M48" s="368"/>
      <c r="N48" s="12"/>
      <c r="O48" s="368"/>
      <c r="P48" s="12"/>
      <c r="Q48" s="368"/>
      <c r="R48" s="12"/>
      <c r="S48" s="368"/>
      <c r="T48" s="12"/>
      <c r="U48" s="368"/>
      <c r="V48" s="11"/>
      <c r="W48" s="363"/>
      <c r="X48" s="11">
        <v>4</v>
      </c>
      <c r="Y48" s="363">
        <v>559.4</v>
      </c>
      <c r="Z48" s="11"/>
      <c r="AA48" s="363"/>
      <c r="AB48" s="11"/>
      <c r="AC48" s="363"/>
      <c r="AD48" s="11"/>
      <c r="AE48" s="363"/>
      <c r="AF48" s="11">
        <v>2</v>
      </c>
      <c r="AG48" s="363">
        <v>382</v>
      </c>
      <c r="AH48" s="11"/>
      <c r="AI48" s="363"/>
      <c r="AJ48" s="299"/>
      <c r="AK48" s="299"/>
      <c r="AL48" s="11"/>
      <c r="AM48" s="363"/>
      <c r="AN48" s="981">
        <f t="shared" si="3"/>
        <v>6</v>
      </c>
      <c r="AO48" s="812">
        <f t="shared" si="3"/>
        <v>941.4</v>
      </c>
    </row>
    <row r="49" spans="1:41" s="86" customFormat="1" ht="27" customHeight="1">
      <c r="A49" s="561" t="s">
        <v>625</v>
      </c>
      <c r="B49" s="137"/>
      <c r="C49" s="333"/>
      <c r="D49" s="12"/>
      <c r="E49" s="333"/>
      <c r="F49" s="137"/>
      <c r="G49" s="333"/>
      <c r="H49" s="15"/>
      <c r="I49" s="835"/>
      <c r="J49" s="12"/>
      <c r="K49" s="368"/>
      <c r="L49" s="12"/>
      <c r="M49" s="368"/>
      <c r="N49" s="12"/>
      <c r="O49" s="368"/>
      <c r="P49" s="12"/>
      <c r="Q49" s="368"/>
      <c r="R49" s="12"/>
      <c r="S49" s="368"/>
      <c r="T49" s="12"/>
      <c r="U49" s="368"/>
      <c r="V49" s="11"/>
      <c r="W49" s="363"/>
      <c r="X49" s="11">
        <v>3</v>
      </c>
      <c r="Y49" s="363">
        <v>430.6</v>
      </c>
      <c r="Z49" s="11"/>
      <c r="AA49" s="363"/>
      <c r="AB49" s="11"/>
      <c r="AC49" s="363"/>
      <c r="AD49" s="11"/>
      <c r="AE49" s="363"/>
      <c r="AF49" s="11"/>
      <c r="AG49" s="363"/>
      <c r="AH49" s="11"/>
      <c r="AI49" s="363"/>
      <c r="AJ49" s="299"/>
      <c r="AK49" s="299"/>
      <c r="AL49" s="11"/>
      <c r="AM49" s="363"/>
      <c r="AN49" s="981">
        <f t="shared" si="3"/>
        <v>3</v>
      </c>
      <c r="AO49" s="812">
        <f t="shared" si="3"/>
        <v>430.6</v>
      </c>
    </row>
    <row r="50" spans="1:41" s="86" customFormat="1" ht="27" customHeight="1">
      <c r="A50" s="561" t="s">
        <v>626</v>
      </c>
      <c r="B50" s="137"/>
      <c r="C50" s="333"/>
      <c r="D50" s="12"/>
      <c r="E50" s="333"/>
      <c r="F50" s="137"/>
      <c r="G50" s="333"/>
      <c r="H50" s="15"/>
      <c r="I50" s="835"/>
      <c r="J50" s="12"/>
      <c r="K50" s="368"/>
      <c r="L50" s="12"/>
      <c r="M50" s="368"/>
      <c r="N50" s="12"/>
      <c r="O50" s="368"/>
      <c r="P50" s="12"/>
      <c r="Q50" s="368"/>
      <c r="R50" s="12"/>
      <c r="S50" s="368"/>
      <c r="T50" s="12"/>
      <c r="U50" s="368"/>
      <c r="V50" s="11"/>
      <c r="W50" s="363"/>
      <c r="X50" s="11"/>
      <c r="Y50" s="363"/>
      <c r="Z50" s="11"/>
      <c r="AA50" s="363"/>
      <c r="AB50" s="11"/>
      <c r="AC50" s="363"/>
      <c r="AD50" s="11"/>
      <c r="AE50" s="363"/>
      <c r="AF50" s="11"/>
      <c r="AG50" s="363"/>
      <c r="AH50" s="11"/>
      <c r="AI50" s="363"/>
      <c r="AJ50" s="299"/>
      <c r="AK50" s="299"/>
      <c r="AL50" s="11"/>
      <c r="AM50" s="363"/>
      <c r="AN50" s="981">
        <f t="shared" si="3"/>
        <v>0</v>
      </c>
      <c r="AO50" s="812">
        <f t="shared" si="3"/>
        <v>0</v>
      </c>
    </row>
    <row r="51" spans="1:41" s="86" customFormat="1" ht="27" customHeight="1">
      <c r="A51" s="561" t="s">
        <v>627</v>
      </c>
      <c r="B51" s="137"/>
      <c r="C51" s="333"/>
      <c r="D51" s="12"/>
      <c r="E51" s="333"/>
      <c r="F51" s="137"/>
      <c r="G51" s="333"/>
      <c r="H51" s="15"/>
      <c r="I51" s="835"/>
      <c r="J51" s="12"/>
      <c r="K51" s="368"/>
      <c r="L51" s="12"/>
      <c r="M51" s="368"/>
      <c r="N51" s="12"/>
      <c r="O51" s="368"/>
      <c r="P51" s="12"/>
      <c r="Q51" s="368"/>
      <c r="R51" s="12"/>
      <c r="S51" s="368"/>
      <c r="T51" s="12"/>
      <c r="U51" s="368"/>
      <c r="V51" s="11"/>
      <c r="W51" s="363"/>
      <c r="X51" s="11"/>
      <c r="Y51" s="363">
        <v>179</v>
      </c>
      <c r="Z51" s="11"/>
      <c r="AA51" s="363"/>
      <c r="AB51" s="11"/>
      <c r="AC51" s="363"/>
      <c r="AD51" s="11"/>
      <c r="AE51" s="363"/>
      <c r="AF51" s="11"/>
      <c r="AG51" s="363"/>
      <c r="AH51" s="11">
        <v>4</v>
      </c>
      <c r="AI51" s="363">
        <v>399.3</v>
      </c>
      <c r="AJ51" s="299"/>
      <c r="AK51" s="299"/>
      <c r="AL51" s="11"/>
      <c r="AM51" s="363"/>
      <c r="AN51" s="981">
        <f t="shared" si="3"/>
        <v>4</v>
      </c>
      <c r="AO51" s="812">
        <f t="shared" si="3"/>
        <v>578.3</v>
      </c>
    </row>
    <row r="52" spans="1:41" s="86" customFormat="1" ht="27" customHeight="1">
      <c r="A52" s="561" t="s">
        <v>225</v>
      </c>
      <c r="B52" s="137"/>
      <c r="C52" s="333"/>
      <c r="D52" s="12"/>
      <c r="E52" s="333"/>
      <c r="F52" s="137"/>
      <c r="G52" s="333"/>
      <c r="H52" s="15"/>
      <c r="I52" s="835"/>
      <c r="J52" s="12"/>
      <c r="K52" s="368"/>
      <c r="L52" s="12"/>
      <c r="M52" s="368"/>
      <c r="N52" s="12"/>
      <c r="O52" s="368"/>
      <c r="P52" s="12"/>
      <c r="Q52" s="368"/>
      <c r="R52" s="12"/>
      <c r="S52" s="368"/>
      <c r="T52" s="12"/>
      <c r="U52" s="368"/>
      <c r="V52" s="11"/>
      <c r="W52" s="363"/>
      <c r="X52" s="11"/>
      <c r="Y52" s="363">
        <v>195.8</v>
      </c>
      <c r="Z52" s="11"/>
      <c r="AA52" s="363"/>
      <c r="AB52" s="11"/>
      <c r="AC52" s="363"/>
      <c r="AD52" s="11"/>
      <c r="AE52" s="363"/>
      <c r="AF52" s="11"/>
      <c r="AG52" s="363"/>
      <c r="AH52" s="11"/>
      <c r="AI52" s="363"/>
      <c r="AJ52" s="299"/>
      <c r="AK52" s="299"/>
      <c r="AL52" s="11"/>
      <c r="AM52" s="363"/>
      <c r="AN52" s="981">
        <f aca="true" t="shared" si="4" ref="AN52:AO81">SUM(B52,D52,F52,H52,J52,L52,N52,P52,R52,T52,V52,X52,Z52,AB52,AD52,AF52,AH52,AL52,AJ52)</f>
        <v>0</v>
      </c>
      <c r="AO52" s="812">
        <f t="shared" si="4"/>
        <v>195.8</v>
      </c>
    </row>
    <row r="53" spans="1:41" s="86" customFormat="1" ht="27" customHeight="1">
      <c r="A53" s="561" t="s">
        <v>257</v>
      </c>
      <c r="B53" s="137"/>
      <c r="C53" s="333"/>
      <c r="D53" s="12"/>
      <c r="E53" s="333"/>
      <c r="F53" s="137"/>
      <c r="G53" s="333"/>
      <c r="H53" s="15"/>
      <c r="I53" s="835"/>
      <c r="J53" s="12"/>
      <c r="K53" s="368"/>
      <c r="L53" s="12"/>
      <c r="M53" s="368"/>
      <c r="N53" s="12"/>
      <c r="O53" s="368"/>
      <c r="P53" s="12"/>
      <c r="Q53" s="368"/>
      <c r="R53" s="12"/>
      <c r="S53" s="368"/>
      <c r="T53" s="12"/>
      <c r="U53" s="368"/>
      <c r="V53" s="11"/>
      <c r="W53" s="363"/>
      <c r="X53" s="11"/>
      <c r="Y53" s="363"/>
      <c r="Z53" s="11"/>
      <c r="AA53" s="363"/>
      <c r="AB53" s="11"/>
      <c r="AC53" s="363"/>
      <c r="AD53" s="11"/>
      <c r="AE53" s="363"/>
      <c r="AF53" s="11"/>
      <c r="AG53" s="363"/>
      <c r="AH53" s="11"/>
      <c r="AI53" s="363"/>
      <c r="AJ53" s="299"/>
      <c r="AK53" s="299"/>
      <c r="AL53" s="11"/>
      <c r="AM53" s="363"/>
      <c r="AN53" s="981">
        <f t="shared" si="4"/>
        <v>0</v>
      </c>
      <c r="AO53" s="812">
        <f t="shared" si="4"/>
        <v>0</v>
      </c>
    </row>
    <row r="54" spans="1:41" s="86" customFormat="1" ht="27" customHeight="1">
      <c r="A54" s="561" t="s">
        <v>628</v>
      </c>
      <c r="B54" s="137"/>
      <c r="C54" s="333"/>
      <c r="D54" s="12"/>
      <c r="E54" s="333"/>
      <c r="F54" s="137"/>
      <c r="G54" s="333"/>
      <c r="H54" s="15"/>
      <c r="I54" s="835"/>
      <c r="J54" s="12"/>
      <c r="K54" s="368"/>
      <c r="L54" s="12"/>
      <c r="M54" s="368"/>
      <c r="N54" s="12"/>
      <c r="O54" s="368"/>
      <c r="P54" s="12"/>
      <c r="Q54" s="368"/>
      <c r="R54" s="12"/>
      <c r="S54" s="368"/>
      <c r="T54" s="12"/>
      <c r="U54" s="368"/>
      <c r="V54" s="11"/>
      <c r="W54" s="363"/>
      <c r="X54" s="11">
        <v>2</v>
      </c>
      <c r="Y54" s="363">
        <v>548</v>
      </c>
      <c r="Z54" s="11"/>
      <c r="AA54" s="363"/>
      <c r="AB54" s="11"/>
      <c r="AC54" s="363"/>
      <c r="AD54" s="11"/>
      <c r="AE54" s="363"/>
      <c r="AF54" s="11">
        <v>2</v>
      </c>
      <c r="AG54" s="363">
        <v>338.2</v>
      </c>
      <c r="AH54" s="11"/>
      <c r="AI54" s="363"/>
      <c r="AJ54" s="299"/>
      <c r="AK54" s="299"/>
      <c r="AL54" s="11"/>
      <c r="AM54" s="363"/>
      <c r="AN54" s="981">
        <f t="shared" si="4"/>
        <v>4</v>
      </c>
      <c r="AO54" s="812">
        <f t="shared" si="4"/>
        <v>886.2</v>
      </c>
    </row>
    <row r="55" spans="1:41" s="86" customFormat="1" ht="27" customHeight="1">
      <c r="A55" s="561" t="s">
        <v>629</v>
      </c>
      <c r="B55" s="137"/>
      <c r="C55" s="333"/>
      <c r="D55" s="12"/>
      <c r="E55" s="333"/>
      <c r="F55" s="137"/>
      <c r="G55" s="333"/>
      <c r="H55" s="15"/>
      <c r="I55" s="835"/>
      <c r="J55" s="12"/>
      <c r="K55" s="368"/>
      <c r="L55" s="12"/>
      <c r="M55" s="368"/>
      <c r="N55" s="12"/>
      <c r="O55" s="368"/>
      <c r="P55" s="12"/>
      <c r="Q55" s="368"/>
      <c r="R55" s="12"/>
      <c r="S55" s="368"/>
      <c r="T55" s="12"/>
      <c r="U55" s="368"/>
      <c r="V55" s="11"/>
      <c r="W55" s="363"/>
      <c r="X55" s="11"/>
      <c r="Y55" s="363"/>
      <c r="Z55" s="11"/>
      <c r="AA55" s="363"/>
      <c r="AB55" s="11"/>
      <c r="AC55" s="363"/>
      <c r="AD55" s="11"/>
      <c r="AE55" s="363"/>
      <c r="AF55" s="11"/>
      <c r="AG55" s="363"/>
      <c r="AH55" s="11"/>
      <c r="AI55" s="363"/>
      <c r="AJ55" s="299"/>
      <c r="AK55" s="299"/>
      <c r="AL55" s="11"/>
      <c r="AM55" s="363"/>
      <c r="AN55" s="981">
        <f t="shared" si="4"/>
        <v>0</v>
      </c>
      <c r="AO55" s="812">
        <f t="shared" si="4"/>
        <v>0</v>
      </c>
    </row>
    <row r="56" spans="1:41" s="86" customFormat="1" ht="27" customHeight="1">
      <c r="A56" s="561" t="s">
        <v>630</v>
      </c>
      <c r="B56" s="137"/>
      <c r="C56" s="333"/>
      <c r="D56" s="12"/>
      <c r="E56" s="333"/>
      <c r="F56" s="137"/>
      <c r="G56" s="333"/>
      <c r="H56" s="15"/>
      <c r="I56" s="835"/>
      <c r="J56" s="12"/>
      <c r="K56" s="368"/>
      <c r="L56" s="12"/>
      <c r="M56" s="368"/>
      <c r="N56" s="12"/>
      <c r="O56" s="368"/>
      <c r="P56" s="12"/>
      <c r="Q56" s="368"/>
      <c r="R56" s="12"/>
      <c r="S56" s="368"/>
      <c r="T56" s="12"/>
      <c r="U56" s="368"/>
      <c r="V56" s="11"/>
      <c r="W56" s="363"/>
      <c r="X56" s="11"/>
      <c r="Y56" s="363"/>
      <c r="Z56" s="11">
        <v>4</v>
      </c>
      <c r="AA56" s="363">
        <v>775.7</v>
      </c>
      <c r="AB56" s="11">
        <v>1</v>
      </c>
      <c r="AC56" s="363">
        <v>46.2</v>
      </c>
      <c r="AD56" s="11"/>
      <c r="AE56" s="363"/>
      <c r="AF56" s="11"/>
      <c r="AG56" s="363"/>
      <c r="AH56" s="11"/>
      <c r="AI56" s="363"/>
      <c r="AJ56" s="299"/>
      <c r="AK56" s="299"/>
      <c r="AL56" s="11"/>
      <c r="AM56" s="363"/>
      <c r="AN56" s="981">
        <f t="shared" si="4"/>
        <v>5</v>
      </c>
      <c r="AO56" s="812">
        <f t="shared" si="4"/>
        <v>821.9000000000001</v>
      </c>
    </row>
    <row r="57" spans="1:41" s="86" customFormat="1" ht="27" customHeight="1">
      <c r="A57" s="561" t="s">
        <v>631</v>
      </c>
      <c r="B57" s="137"/>
      <c r="C57" s="333"/>
      <c r="D57" s="12"/>
      <c r="E57" s="333"/>
      <c r="F57" s="137"/>
      <c r="G57" s="333"/>
      <c r="H57" s="15"/>
      <c r="I57" s="835"/>
      <c r="J57" s="12"/>
      <c r="K57" s="368"/>
      <c r="L57" s="12"/>
      <c r="M57" s="368"/>
      <c r="N57" s="12"/>
      <c r="O57" s="368"/>
      <c r="P57" s="12"/>
      <c r="Q57" s="368"/>
      <c r="R57" s="12"/>
      <c r="S57" s="368"/>
      <c r="T57" s="12"/>
      <c r="U57" s="368"/>
      <c r="V57" s="11"/>
      <c r="W57" s="363"/>
      <c r="X57" s="11">
        <v>1</v>
      </c>
      <c r="Y57" s="363">
        <v>165</v>
      </c>
      <c r="Z57" s="11"/>
      <c r="AA57" s="363"/>
      <c r="AB57" s="11"/>
      <c r="AC57" s="363"/>
      <c r="AD57" s="11"/>
      <c r="AE57" s="363"/>
      <c r="AF57" s="11"/>
      <c r="AG57" s="363"/>
      <c r="AH57" s="11"/>
      <c r="AI57" s="363"/>
      <c r="AJ57" s="299"/>
      <c r="AK57" s="299"/>
      <c r="AL57" s="11"/>
      <c r="AM57" s="363"/>
      <c r="AN57" s="981">
        <f t="shared" si="4"/>
        <v>1</v>
      </c>
      <c r="AO57" s="812">
        <f t="shared" si="4"/>
        <v>165</v>
      </c>
    </row>
    <row r="58" spans="1:41" s="86" customFormat="1" ht="27" customHeight="1">
      <c r="A58" s="561" t="s">
        <v>172</v>
      </c>
      <c r="B58" s="137"/>
      <c r="C58" s="333">
        <v>272</v>
      </c>
      <c r="D58" s="12"/>
      <c r="E58" s="333"/>
      <c r="F58" s="137">
        <v>1</v>
      </c>
      <c r="G58" s="333">
        <v>87.9</v>
      </c>
      <c r="H58" s="15"/>
      <c r="I58" s="835"/>
      <c r="J58" s="12"/>
      <c r="K58" s="368"/>
      <c r="L58" s="12">
        <v>3</v>
      </c>
      <c r="M58" s="368">
        <v>344</v>
      </c>
      <c r="N58" s="12"/>
      <c r="O58" s="368"/>
      <c r="P58" s="12"/>
      <c r="Q58" s="368"/>
      <c r="R58" s="12"/>
      <c r="S58" s="368"/>
      <c r="T58" s="12"/>
      <c r="U58" s="368"/>
      <c r="V58" s="11"/>
      <c r="W58" s="363"/>
      <c r="X58" s="11">
        <v>5</v>
      </c>
      <c r="Y58" s="363">
        <v>579.4</v>
      </c>
      <c r="Z58" s="11"/>
      <c r="AA58" s="363"/>
      <c r="AB58" s="11"/>
      <c r="AC58" s="363"/>
      <c r="AD58" s="11"/>
      <c r="AE58" s="363">
        <v>89.4</v>
      </c>
      <c r="AF58" s="11">
        <v>3</v>
      </c>
      <c r="AG58" s="363">
        <v>478.1</v>
      </c>
      <c r="AH58" s="11"/>
      <c r="AI58" s="363"/>
      <c r="AJ58" s="299"/>
      <c r="AK58" s="299"/>
      <c r="AL58" s="11"/>
      <c r="AM58" s="363"/>
      <c r="AN58" s="981">
        <f t="shared" si="4"/>
        <v>12</v>
      </c>
      <c r="AO58" s="812">
        <f t="shared" si="4"/>
        <v>1850.8000000000002</v>
      </c>
    </row>
    <row r="59" spans="1:41" s="86" customFormat="1" ht="27" customHeight="1">
      <c r="A59" s="561" t="s">
        <v>381</v>
      </c>
      <c r="B59" s="137"/>
      <c r="C59" s="333"/>
      <c r="D59" s="12"/>
      <c r="E59" s="333"/>
      <c r="F59" s="137"/>
      <c r="G59" s="333"/>
      <c r="H59" s="15"/>
      <c r="I59" s="835"/>
      <c r="J59" s="12"/>
      <c r="K59" s="368"/>
      <c r="L59" s="12">
        <v>2</v>
      </c>
      <c r="M59" s="368">
        <v>281.2</v>
      </c>
      <c r="N59" s="12"/>
      <c r="O59" s="368"/>
      <c r="P59" s="12"/>
      <c r="Q59" s="368"/>
      <c r="R59" s="12"/>
      <c r="S59" s="368"/>
      <c r="T59" s="12"/>
      <c r="U59" s="368"/>
      <c r="V59" s="11"/>
      <c r="W59" s="363"/>
      <c r="X59" s="11"/>
      <c r="Y59" s="363"/>
      <c r="Z59" s="11"/>
      <c r="AA59" s="363"/>
      <c r="AB59" s="11"/>
      <c r="AC59" s="363"/>
      <c r="AD59" s="11"/>
      <c r="AE59" s="363"/>
      <c r="AF59" s="11"/>
      <c r="AG59" s="363"/>
      <c r="AH59" s="11">
        <v>2</v>
      </c>
      <c r="AI59" s="363">
        <v>253.6</v>
      </c>
      <c r="AJ59" s="299"/>
      <c r="AK59" s="299"/>
      <c r="AL59" s="11"/>
      <c r="AM59" s="363"/>
      <c r="AN59" s="981">
        <f t="shared" si="4"/>
        <v>4</v>
      </c>
      <c r="AO59" s="812">
        <f t="shared" si="4"/>
        <v>534.8</v>
      </c>
    </row>
    <row r="60" spans="1:41" s="86" customFormat="1" ht="27" customHeight="1">
      <c r="A60" s="561" t="s">
        <v>632</v>
      </c>
      <c r="B60" s="137"/>
      <c r="C60" s="333"/>
      <c r="D60" s="12"/>
      <c r="E60" s="333"/>
      <c r="F60" s="137"/>
      <c r="G60" s="333"/>
      <c r="H60" s="15"/>
      <c r="I60" s="835"/>
      <c r="J60" s="12"/>
      <c r="K60" s="368"/>
      <c r="L60" s="12"/>
      <c r="M60" s="368"/>
      <c r="N60" s="12"/>
      <c r="O60" s="368"/>
      <c r="P60" s="12"/>
      <c r="Q60" s="368"/>
      <c r="R60" s="12"/>
      <c r="S60" s="368"/>
      <c r="T60" s="12"/>
      <c r="U60" s="368"/>
      <c r="V60" s="11"/>
      <c r="W60" s="363"/>
      <c r="X60" s="11">
        <v>2</v>
      </c>
      <c r="Y60" s="363">
        <v>474.3</v>
      </c>
      <c r="Z60" s="11"/>
      <c r="AA60" s="363"/>
      <c r="AB60" s="11"/>
      <c r="AC60" s="363"/>
      <c r="AD60" s="11"/>
      <c r="AE60" s="363"/>
      <c r="AF60" s="11"/>
      <c r="AG60" s="363"/>
      <c r="AH60" s="11"/>
      <c r="AI60" s="363"/>
      <c r="AJ60" s="299"/>
      <c r="AK60" s="299"/>
      <c r="AL60" s="11"/>
      <c r="AM60" s="363"/>
      <c r="AN60" s="981">
        <f t="shared" si="4"/>
        <v>2</v>
      </c>
      <c r="AO60" s="812">
        <f t="shared" si="4"/>
        <v>474.3</v>
      </c>
    </row>
    <row r="61" spans="1:41" s="86" customFormat="1" ht="27" customHeight="1">
      <c r="A61" s="561" t="s">
        <v>173</v>
      </c>
      <c r="B61" s="137"/>
      <c r="C61" s="333"/>
      <c r="D61" s="12"/>
      <c r="E61" s="333"/>
      <c r="F61" s="137"/>
      <c r="G61" s="333"/>
      <c r="H61" s="15"/>
      <c r="I61" s="835"/>
      <c r="J61" s="12"/>
      <c r="K61" s="368"/>
      <c r="L61" s="12">
        <v>2</v>
      </c>
      <c r="M61" s="368">
        <v>282.8</v>
      </c>
      <c r="N61" s="12"/>
      <c r="O61" s="368"/>
      <c r="P61" s="12"/>
      <c r="Q61" s="368"/>
      <c r="R61" s="12"/>
      <c r="S61" s="368"/>
      <c r="T61" s="12"/>
      <c r="U61" s="368"/>
      <c r="V61" s="11"/>
      <c r="W61" s="363"/>
      <c r="X61" s="11">
        <v>2</v>
      </c>
      <c r="Y61" s="363">
        <v>273.6</v>
      </c>
      <c r="Z61" s="11"/>
      <c r="AA61" s="363"/>
      <c r="AB61" s="11"/>
      <c r="AC61" s="363">
        <v>406.4</v>
      </c>
      <c r="AD61" s="11"/>
      <c r="AE61" s="363"/>
      <c r="AF61" s="11">
        <v>2</v>
      </c>
      <c r="AG61" s="363">
        <v>280.6</v>
      </c>
      <c r="AH61" s="11">
        <v>2</v>
      </c>
      <c r="AI61" s="363">
        <v>251.4</v>
      </c>
      <c r="AJ61" s="299"/>
      <c r="AK61" s="299"/>
      <c r="AL61" s="11"/>
      <c r="AM61" s="363"/>
      <c r="AN61" s="981">
        <f t="shared" si="4"/>
        <v>8</v>
      </c>
      <c r="AO61" s="812">
        <f t="shared" si="4"/>
        <v>1494.8000000000002</v>
      </c>
    </row>
    <row r="62" spans="1:41" s="86" customFormat="1" ht="27" customHeight="1">
      <c r="A62" s="561" t="s">
        <v>392</v>
      </c>
      <c r="B62" s="137"/>
      <c r="C62" s="333"/>
      <c r="D62" s="12"/>
      <c r="E62" s="333"/>
      <c r="F62" s="137"/>
      <c r="G62" s="333"/>
      <c r="H62" s="15"/>
      <c r="I62" s="835"/>
      <c r="J62" s="12"/>
      <c r="K62" s="368"/>
      <c r="L62" s="12"/>
      <c r="M62" s="368"/>
      <c r="N62" s="12"/>
      <c r="O62" s="368"/>
      <c r="P62" s="12"/>
      <c r="Q62" s="368"/>
      <c r="R62" s="12"/>
      <c r="S62" s="368"/>
      <c r="T62" s="12"/>
      <c r="U62" s="368"/>
      <c r="V62" s="11"/>
      <c r="W62" s="363"/>
      <c r="X62" s="11"/>
      <c r="Y62" s="363"/>
      <c r="Z62" s="11"/>
      <c r="AA62" s="363"/>
      <c r="AB62" s="11"/>
      <c r="AC62" s="363"/>
      <c r="AD62" s="11"/>
      <c r="AE62" s="363"/>
      <c r="AF62" s="11"/>
      <c r="AG62" s="363"/>
      <c r="AH62" s="11"/>
      <c r="AI62" s="363"/>
      <c r="AJ62" s="299"/>
      <c r="AK62" s="299"/>
      <c r="AL62" s="11"/>
      <c r="AM62" s="363"/>
      <c r="AN62" s="981">
        <f t="shared" si="4"/>
        <v>0</v>
      </c>
      <c r="AO62" s="812">
        <f t="shared" si="4"/>
        <v>0</v>
      </c>
    </row>
    <row r="63" spans="1:41" s="86" customFormat="1" ht="27" customHeight="1">
      <c r="A63" s="561" t="s">
        <v>633</v>
      </c>
      <c r="B63" s="137"/>
      <c r="C63" s="333"/>
      <c r="D63" s="12"/>
      <c r="E63" s="333"/>
      <c r="F63" s="137"/>
      <c r="G63" s="333"/>
      <c r="H63" s="15"/>
      <c r="I63" s="835"/>
      <c r="J63" s="12"/>
      <c r="K63" s="368"/>
      <c r="L63" s="12"/>
      <c r="M63" s="368"/>
      <c r="N63" s="12"/>
      <c r="O63" s="368"/>
      <c r="P63" s="12"/>
      <c r="Q63" s="368"/>
      <c r="R63" s="12"/>
      <c r="S63" s="368"/>
      <c r="T63" s="12"/>
      <c r="U63" s="368"/>
      <c r="V63" s="11"/>
      <c r="W63" s="363"/>
      <c r="X63" s="11"/>
      <c r="Y63" s="363"/>
      <c r="Z63" s="11"/>
      <c r="AA63" s="363"/>
      <c r="AB63" s="11"/>
      <c r="AC63" s="363"/>
      <c r="AD63" s="11"/>
      <c r="AE63" s="363"/>
      <c r="AF63" s="11"/>
      <c r="AG63" s="363"/>
      <c r="AH63" s="11"/>
      <c r="AI63" s="363"/>
      <c r="AJ63" s="299"/>
      <c r="AK63" s="299"/>
      <c r="AL63" s="11"/>
      <c r="AM63" s="363"/>
      <c r="AN63" s="981">
        <f t="shared" si="4"/>
        <v>0</v>
      </c>
      <c r="AO63" s="812">
        <f t="shared" si="4"/>
        <v>0</v>
      </c>
    </row>
    <row r="64" spans="1:41" s="86" customFormat="1" ht="27" customHeight="1">
      <c r="A64" s="561" t="s">
        <v>634</v>
      </c>
      <c r="B64" s="137"/>
      <c r="C64" s="333"/>
      <c r="D64" s="12"/>
      <c r="E64" s="333"/>
      <c r="F64" s="137"/>
      <c r="G64" s="333"/>
      <c r="H64" s="15"/>
      <c r="I64" s="835"/>
      <c r="J64" s="12"/>
      <c r="K64" s="368"/>
      <c r="L64" s="12"/>
      <c r="M64" s="368"/>
      <c r="N64" s="12"/>
      <c r="O64" s="368"/>
      <c r="P64" s="12"/>
      <c r="Q64" s="368"/>
      <c r="R64" s="12"/>
      <c r="S64" s="368"/>
      <c r="T64" s="12"/>
      <c r="U64" s="368"/>
      <c r="V64" s="11"/>
      <c r="W64" s="363"/>
      <c r="X64" s="11">
        <v>3</v>
      </c>
      <c r="Y64" s="363">
        <v>420.2</v>
      </c>
      <c r="Z64" s="11"/>
      <c r="AA64" s="363"/>
      <c r="AB64" s="11"/>
      <c r="AC64" s="363"/>
      <c r="AD64" s="11"/>
      <c r="AE64" s="363"/>
      <c r="AF64" s="11">
        <v>1</v>
      </c>
      <c r="AG64" s="363">
        <v>139</v>
      </c>
      <c r="AH64" s="11"/>
      <c r="AI64" s="363"/>
      <c r="AJ64" s="299"/>
      <c r="AK64" s="299"/>
      <c r="AL64" s="11"/>
      <c r="AM64" s="363"/>
      <c r="AN64" s="981">
        <f t="shared" si="4"/>
        <v>4</v>
      </c>
      <c r="AO64" s="812">
        <f t="shared" si="4"/>
        <v>559.2</v>
      </c>
    </row>
    <row r="65" spans="1:41" s="86" customFormat="1" ht="27" customHeight="1">
      <c r="A65" s="561" t="s">
        <v>202</v>
      </c>
      <c r="B65" s="137"/>
      <c r="C65" s="333"/>
      <c r="D65" s="12"/>
      <c r="E65" s="333"/>
      <c r="F65" s="137"/>
      <c r="G65" s="333"/>
      <c r="H65" s="15"/>
      <c r="I65" s="835"/>
      <c r="J65" s="12"/>
      <c r="K65" s="368"/>
      <c r="L65" s="12"/>
      <c r="M65" s="368"/>
      <c r="N65" s="12"/>
      <c r="O65" s="368"/>
      <c r="P65" s="12"/>
      <c r="Q65" s="368"/>
      <c r="R65" s="12"/>
      <c r="S65" s="368"/>
      <c r="T65" s="12"/>
      <c r="U65" s="368"/>
      <c r="V65" s="11"/>
      <c r="W65" s="363"/>
      <c r="X65" s="11"/>
      <c r="Y65" s="363"/>
      <c r="Z65" s="11"/>
      <c r="AA65" s="363"/>
      <c r="AB65" s="11"/>
      <c r="AC65" s="363"/>
      <c r="AD65" s="11"/>
      <c r="AE65" s="363"/>
      <c r="AF65" s="11"/>
      <c r="AG65" s="363"/>
      <c r="AH65" s="11">
        <v>1</v>
      </c>
      <c r="AI65" s="363">
        <v>105.7</v>
      </c>
      <c r="AJ65" s="299"/>
      <c r="AK65" s="299"/>
      <c r="AL65" s="11"/>
      <c r="AM65" s="363"/>
      <c r="AN65" s="981">
        <f t="shared" si="4"/>
        <v>1</v>
      </c>
      <c r="AO65" s="812">
        <f t="shared" si="4"/>
        <v>105.7</v>
      </c>
    </row>
    <row r="66" spans="1:41" s="86" customFormat="1" ht="27" customHeight="1">
      <c r="A66" s="561" t="s">
        <v>256</v>
      </c>
      <c r="B66" s="137"/>
      <c r="C66" s="333">
        <f>345.3+187.5</f>
        <v>532.8</v>
      </c>
      <c r="D66" s="12"/>
      <c r="E66" s="333"/>
      <c r="F66" s="137"/>
      <c r="G66" s="333"/>
      <c r="H66" s="15"/>
      <c r="I66" s="835">
        <v>457.7</v>
      </c>
      <c r="J66" s="12"/>
      <c r="K66" s="368"/>
      <c r="L66" s="12"/>
      <c r="M66" s="368"/>
      <c r="N66" s="12"/>
      <c r="O66" s="368"/>
      <c r="P66" s="12"/>
      <c r="Q66" s="368"/>
      <c r="R66" s="12">
        <v>1</v>
      </c>
      <c r="S66" s="368">
        <v>91</v>
      </c>
      <c r="T66" s="12"/>
      <c r="U66" s="368"/>
      <c r="V66" s="11"/>
      <c r="W66" s="363"/>
      <c r="X66" s="11">
        <v>1</v>
      </c>
      <c r="Y66" s="363">
        <v>87.6</v>
      </c>
      <c r="Z66" s="11"/>
      <c r="AA66" s="363"/>
      <c r="AB66" s="11"/>
      <c r="AC66" s="363"/>
      <c r="AD66" s="11"/>
      <c r="AE66" s="363"/>
      <c r="AF66" s="11">
        <v>2</v>
      </c>
      <c r="AG66" s="363">
        <v>200.8</v>
      </c>
      <c r="AH66" s="11">
        <v>3</v>
      </c>
      <c r="AI66" s="363">
        <v>404.6</v>
      </c>
      <c r="AJ66" s="873"/>
      <c r="AK66" s="299">
        <v>571.5</v>
      </c>
      <c r="AL66" s="11"/>
      <c r="AM66" s="363"/>
      <c r="AN66" s="981">
        <f t="shared" si="4"/>
        <v>7</v>
      </c>
      <c r="AO66" s="812">
        <f t="shared" si="4"/>
        <v>2346</v>
      </c>
    </row>
    <row r="67" spans="1:41" s="86" customFormat="1" ht="27" customHeight="1">
      <c r="A67" s="561" t="s">
        <v>635</v>
      </c>
      <c r="B67" s="137"/>
      <c r="C67" s="333"/>
      <c r="D67" s="12"/>
      <c r="E67" s="333"/>
      <c r="F67" s="137"/>
      <c r="G67" s="333"/>
      <c r="H67" s="15"/>
      <c r="I67" s="835"/>
      <c r="J67" s="12"/>
      <c r="K67" s="368"/>
      <c r="L67" s="12"/>
      <c r="M67" s="368"/>
      <c r="N67" s="12"/>
      <c r="O67" s="368"/>
      <c r="P67" s="12"/>
      <c r="Q67" s="368"/>
      <c r="R67" s="12"/>
      <c r="S67" s="368"/>
      <c r="T67" s="12"/>
      <c r="U67" s="368"/>
      <c r="V67" s="11"/>
      <c r="W67" s="363"/>
      <c r="X67" s="11"/>
      <c r="Y67" s="363"/>
      <c r="Z67" s="11"/>
      <c r="AA67" s="363"/>
      <c r="AB67" s="11"/>
      <c r="AC67" s="363"/>
      <c r="AD67" s="11"/>
      <c r="AE67" s="363"/>
      <c r="AF67" s="11"/>
      <c r="AG67" s="363"/>
      <c r="AH67" s="11"/>
      <c r="AI67" s="363"/>
      <c r="AJ67" s="873"/>
      <c r="AK67" s="299"/>
      <c r="AL67" s="11"/>
      <c r="AM67" s="363"/>
      <c r="AN67" s="981">
        <f t="shared" si="4"/>
        <v>0</v>
      </c>
      <c r="AO67" s="812">
        <f t="shared" si="4"/>
        <v>0</v>
      </c>
    </row>
    <row r="68" spans="1:41" s="86" customFormat="1" ht="27" customHeight="1">
      <c r="A68" s="561" t="s">
        <v>636</v>
      </c>
      <c r="B68" s="137"/>
      <c r="C68" s="333"/>
      <c r="D68" s="12"/>
      <c r="E68" s="333"/>
      <c r="F68" s="137"/>
      <c r="G68" s="333"/>
      <c r="H68" s="15"/>
      <c r="I68" s="835"/>
      <c r="J68" s="12"/>
      <c r="K68" s="368"/>
      <c r="L68" s="12"/>
      <c r="M68" s="368"/>
      <c r="N68" s="12"/>
      <c r="O68" s="368"/>
      <c r="P68" s="12"/>
      <c r="Q68" s="368"/>
      <c r="R68" s="12"/>
      <c r="S68" s="368"/>
      <c r="T68" s="12"/>
      <c r="U68" s="368"/>
      <c r="V68" s="11"/>
      <c r="W68" s="363"/>
      <c r="X68" s="11">
        <v>1</v>
      </c>
      <c r="Y68" s="363">
        <v>165</v>
      </c>
      <c r="Z68" s="11"/>
      <c r="AA68" s="363"/>
      <c r="AB68" s="11"/>
      <c r="AC68" s="363"/>
      <c r="AD68" s="11"/>
      <c r="AE68" s="363"/>
      <c r="AF68" s="11"/>
      <c r="AG68" s="363"/>
      <c r="AH68" s="11"/>
      <c r="AI68" s="363"/>
      <c r="AJ68" s="873"/>
      <c r="AK68" s="299"/>
      <c r="AL68" s="11"/>
      <c r="AM68" s="363"/>
      <c r="AN68" s="981">
        <f t="shared" si="4"/>
        <v>1</v>
      </c>
      <c r="AO68" s="812">
        <f t="shared" si="4"/>
        <v>165</v>
      </c>
    </row>
    <row r="69" spans="1:41" s="86" customFormat="1" ht="27" customHeight="1">
      <c r="A69" s="561" t="s">
        <v>637</v>
      </c>
      <c r="B69" s="137"/>
      <c r="C69" s="333"/>
      <c r="D69" s="12"/>
      <c r="E69" s="333"/>
      <c r="F69" s="137"/>
      <c r="G69" s="333"/>
      <c r="H69" s="15"/>
      <c r="I69" s="835"/>
      <c r="J69" s="12"/>
      <c r="K69" s="368"/>
      <c r="L69" s="12"/>
      <c r="M69" s="368"/>
      <c r="N69" s="12"/>
      <c r="O69" s="368"/>
      <c r="P69" s="12"/>
      <c r="Q69" s="368"/>
      <c r="R69" s="12"/>
      <c r="S69" s="368"/>
      <c r="T69" s="12"/>
      <c r="U69" s="368"/>
      <c r="V69" s="11"/>
      <c r="W69" s="363"/>
      <c r="X69" s="11">
        <v>3</v>
      </c>
      <c r="Y69" s="363">
        <v>515</v>
      </c>
      <c r="Z69" s="11"/>
      <c r="AA69" s="363"/>
      <c r="AB69" s="11"/>
      <c r="AC69" s="363"/>
      <c r="AD69" s="11"/>
      <c r="AE69" s="363"/>
      <c r="AF69" s="11"/>
      <c r="AG69" s="363"/>
      <c r="AH69" s="11"/>
      <c r="AI69" s="363"/>
      <c r="AJ69" s="299"/>
      <c r="AK69" s="299"/>
      <c r="AL69" s="11"/>
      <c r="AM69" s="363"/>
      <c r="AN69" s="981">
        <f t="shared" si="4"/>
        <v>3</v>
      </c>
      <c r="AO69" s="812">
        <f t="shared" si="4"/>
        <v>515</v>
      </c>
    </row>
    <row r="70" spans="1:41" s="86" customFormat="1" ht="27" customHeight="1">
      <c r="A70" s="1155" t="s">
        <v>175</v>
      </c>
      <c r="B70" s="137"/>
      <c r="C70" s="299"/>
      <c r="D70" s="11"/>
      <c r="E70" s="299"/>
      <c r="F70" s="11"/>
      <c r="G70" s="299"/>
      <c r="H70" s="11"/>
      <c r="I70" s="363"/>
      <c r="J70" s="11"/>
      <c r="K70" s="363"/>
      <c r="L70" s="11"/>
      <c r="M70" s="363">
        <v>1093.9</v>
      </c>
      <c r="N70" s="11"/>
      <c r="O70" s="363"/>
      <c r="P70" s="11"/>
      <c r="Q70" s="363"/>
      <c r="R70" s="11"/>
      <c r="S70" s="363"/>
      <c r="T70" s="11"/>
      <c r="U70" s="363"/>
      <c r="V70" s="11"/>
      <c r="W70" s="363"/>
      <c r="X70" s="11">
        <v>1</v>
      </c>
      <c r="Y70" s="363">
        <v>136.6</v>
      </c>
      <c r="Z70" s="11">
        <v>7</v>
      </c>
      <c r="AA70" s="363">
        <v>2173.1</v>
      </c>
      <c r="AB70" s="11"/>
      <c r="AC70" s="363"/>
      <c r="AD70" s="11"/>
      <c r="AE70" s="363"/>
      <c r="AF70" s="11"/>
      <c r="AG70" s="363"/>
      <c r="AH70" s="11">
        <v>2</v>
      </c>
      <c r="AI70" s="363">
        <v>213.6</v>
      </c>
      <c r="AJ70" s="299"/>
      <c r="AK70" s="299"/>
      <c r="AL70" s="11"/>
      <c r="AM70" s="363"/>
      <c r="AN70" s="981">
        <f t="shared" si="4"/>
        <v>10</v>
      </c>
      <c r="AO70" s="812">
        <f t="shared" si="4"/>
        <v>3617.2</v>
      </c>
    </row>
    <row r="71" spans="1:41" s="86" customFormat="1" ht="27" customHeight="1">
      <c r="A71" s="561" t="s">
        <v>177</v>
      </c>
      <c r="B71" s="137"/>
      <c r="C71" s="299">
        <v>1268.1</v>
      </c>
      <c r="D71" s="11"/>
      <c r="E71" s="299"/>
      <c r="F71" s="11"/>
      <c r="G71" s="299"/>
      <c r="H71" s="11"/>
      <c r="I71" s="363"/>
      <c r="J71" s="11"/>
      <c r="K71" s="363"/>
      <c r="L71" s="11"/>
      <c r="M71" s="363"/>
      <c r="N71" s="11"/>
      <c r="O71" s="363"/>
      <c r="P71" s="11"/>
      <c r="Q71" s="363"/>
      <c r="R71" s="11"/>
      <c r="S71" s="363"/>
      <c r="T71" s="11"/>
      <c r="U71" s="363"/>
      <c r="V71" s="11"/>
      <c r="W71" s="363"/>
      <c r="X71" s="11">
        <v>2</v>
      </c>
      <c r="Y71" s="363">
        <v>193.8</v>
      </c>
      <c r="Z71" s="11"/>
      <c r="AA71" s="363"/>
      <c r="AB71" s="11"/>
      <c r="AC71" s="363"/>
      <c r="AD71" s="11"/>
      <c r="AE71" s="363"/>
      <c r="AF71" s="11">
        <v>2</v>
      </c>
      <c r="AG71" s="363">
        <v>228.2</v>
      </c>
      <c r="AH71" s="11"/>
      <c r="AI71" s="363"/>
      <c r="AJ71" s="299"/>
      <c r="AK71" s="299"/>
      <c r="AL71" s="11"/>
      <c r="AM71" s="363"/>
      <c r="AN71" s="981">
        <f t="shared" si="4"/>
        <v>4</v>
      </c>
      <c r="AO71" s="812">
        <f t="shared" si="4"/>
        <v>1690.1</v>
      </c>
    </row>
    <row r="72" spans="1:41" s="86" customFormat="1" ht="27" customHeight="1">
      <c r="A72" s="561" t="s">
        <v>529</v>
      </c>
      <c r="B72" s="137"/>
      <c r="C72" s="299"/>
      <c r="D72" s="11"/>
      <c r="E72" s="299"/>
      <c r="F72" s="11"/>
      <c r="G72" s="299"/>
      <c r="H72" s="11"/>
      <c r="I72" s="363"/>
      <c r="J72" s="11"/>
      <c r="K72" s="363"/>
      <c r="L72" s="11"/>
      <c r="M72" s="363"/>
      <c r="N72" s="11"/>
      <c r="O72" s="363"/>
      <c r="P72" s="11"/>
      <c r="Q72" s="363"/>
      <c r="R72" s="11"/>
      <c r="S72" s="363"/>
      <c r="T72" s="11"/>
      <c r="U72" s="363"/>
      <c r="V72" s="11"/>
      <c r="W72" s="363"/>
      <c r="X72" s="11"/>
      <c r="Y72" s="363"/>
      <c r="Z72" s="11"/>
      <c r="AA72" s="363"/>
      <c r="AB72" s="11"/>
      <c r="AC72" s="363"/>
      <c r="AD72" s="11"/>
      <c r="AE72" s="363"/>
      <c r="AF72" s="11"/>
      <c r="AG72" s="363"/>
      <c r="AH72" s="11"/>
      <c r="AI72" s="363"/>
      <c r="AJ72" s="299"/>
      <c r="AK72" s="299"/>
      <c r="AL72" s="11"/>
      <c r="AM72" s="363"/>
      <c r="AN72" s="981">
        <f t="shared" si="4"/>
        <v>0</v>
      </c>
      <c r="AO72" s="812">
        <f t="shared" si="4"/>
        <v>0</v>
      </c>
    </row>
    <row r="73" spans="1:41" s="86" customFormat="1" ht="27" customHeight="1">
      <c r="A73" s="561" t="s">
        <v>113</v>
      </c>
      <c r="B73" s="137"/>
      <c r="C73" s="299"/>
      <c r="D73" s="11"/>
      <c r="E73" s="299"/>
      <c r="F73" s="11"/>
      <c r="G73" s="299"/>
      <c r="H73" s="11"/>
      <c r="I73" s="363"/>
      <c r="J73" s="11"/>
      <c r="K73" s="363"/>
      <c r="L73" s="11"/>
      <c r="M73" s="363"/>
      <c r="N73" s="11"/>
      <c r="O73" s="363"/>
      <c r="P73" s="11"/>
      <c r="Q73" s="363"/>
      <c r="R73" s="11"/>
      <c r="S73" s="363"/>
      <c r="T73" s="11"/>
      <c r="U73" s="363"/>
      <c r="V73" s="11"/>
      <c r="W73" s="363"/>
      <c r="X73" s="11">
        <v>2</v>
      </c>
      <c r="Y73" s="363">
        <v>263.2</v>
      </c>
      <c r="Z73" s="11"/>
      <c r="AA73" s="363"/>
      <c r="AB73" s="11"/>
      <c r="AC73" s="363"/>
      <c r="AD73" s="11"/>
      <c r="AE73" s="363"/>
      <c r="AF73" s="11"/>
      <c r="AG73" s="363"/>
      <c r="AH73" s="11"/>
      <c r="AI73" s="363"/>
      <c r="AJ73" s="299"/>
      <c r="AK73" s="299"/>
      <c r="AL73" s="11"/>
      <c r="AM73" s="363"/>
      <c r="AN73" s="981">
        <f t="shared" si="4"/>
        <v>2</v>
      </c>
      <c r="AO73" s="812">
        <f t="shared" si="4"/>
        <v>263.2</v>
      </c>
    </row>
    <row r="74" spans="1:41" s="86" customFormat="1" ht="27" customHeight="1">
      <c r="A74" s="561" t="s">
        <v>278</v>
      </c>
      <c r="B74" s="137"/>
      <c r="C74" s="333">
        <v>409.1</v>
      </c>
      <c r="D74" s="12"/>
      <c r="E74" s="333"/>
      <c r="F74" s="137"/>
      <c r="G74" s="333"/>
      <c r="H74" s="15"/>
      <c r="I74" s="835"/>
      <c r="J74" s="12"/>
      <c r="K74" s="368"/>
      <c r="L74" s="12"/>
      <c r="M74" s="368"/>
      <c r="N74" s="12"/>
      <c r="O74" s="368"/>
      <c r="P74" s="12"/>
      <c r="Q74" s="368"/>
      <c r="R74" s="12"/>
      <c r="S74" s="368"/>
      <c r="T74" s="12"/>
      <c r="U74" s="368"/>
      <c r="V74" s="11"/>
      <c r="W74" s="363">
        <v>174.1</v>
      </c>
      <c r="X74" s="11"/>
      <c r="Y74" s="363"/>
      <c r="Z74" s="11"/>
      <c r="AA74" s="363"/>
      <c r="AB74" s="11"/>
      <c r="AC74" s="363"/>
      <c r="AD74" s="11"/>
      <c r="AE74" s="363"/>
      <c r="AF74" s="11"/>
      <c r="AG74" s="363"/>
      <c r="AH74" s="11"/>
      <c r="AI74" s="363"/>
      <c r="AJ74" s="299"/>
      <c r="AK74" s="299"/>
      <c r="AL74" s="11"/>
      <c r="AM74" s="363"/>
      <c r="AN74" s="981">
        <f t="shared" si="4"/>
        <v>0</v>
      </c>
      <c r="AO74" s="812">
        <f t="shared" si="4"/>
        <v>583.2</v>
      </c>
    </row>
    <row r="75" spans="1:41" s="86" customFormat="1" ht="27" customHeight="1">
      <c r="A75" s="561" t="s">
        <v>223</v>
      </c>
      <c r="B75" s="137"/>
      <c r="C75" s="333"/>
      <c r="D75" s="12"/>
      <c r="E75" s="333"/>
      <c r="F75" s="137"/>
      <c r="G75" s="333"/>
      <c r="H75" s="15"/>
      <c r="I75" s="835"/>
      <c r="J75" s="12"/>
      <c r="K75" s="368"/>
      <c r="L75" s="12">
        <v>2</v>
      </c>
      <c r="M75" s="368">
        <v>293.6</v>
      </c>
      <c r="N75" s="12"/>
      <c r="O75" s="368"/>
      <c r="P75" s="12"/>
      <c r="Q75" s="368"/>
      <c r="R75" s="12"/>
      <c r="S75" s="368"/>
      <c r="T75" s="12"/>
      <c r="U75" s="368"/>
      <c r="V75" s="11"/>
      <c r="W75" s="363"/>
      <c r="X75" s="11">
        <v>4</v>
      </c>
      <c r="Y75" s="363">
        <v>386.5</v>
      </c>
      <c r="Z75" s="11"/>
      <c r="AA75" s="363"/>
      <c r="AB75" s="11"/>
      <c r="AC75" s="363"/>
      <c r="AD75" s="11"/>
      <c r="AE75" s="363">
        <v>472.2</v>
      </c>
      <c r="AF75" s="11">
        <v>2</v>
      </c>
      <c r="AG75" s="363">
        <v>252</v>
      </c>
      <c r="AH75" s="11"/>
      <c r="AI75" s="363"/>
      <c r="AJ75" s="873">
        <v>1</v>
      </c>
      <c r="AK75" s="299">
        <v>89.6</v>
      </c>
      <c r="AL75" s="11"/>
      <c r="AM75" s="363"/>
      <c r="AN75" s="981">
        <f t="shared" si="4"/>
        <v>9</v>
      </c>
      <c r="AO75" s="812">
        <f t="shared" si="4"/>
        <v>1493.8999999999999</v>
      </c>
    </row>
    <row r="76" spans="1:41" s="86" customFormat="1" ht="27" customHeight="1">
      <c r="A76" s="561" t="s">
        <v>638</v>
      </c>
      <c r="B76" s="137"/>
      <c r="C76" s="333"/>
      <c r="D76" s="12"/>
      <c r="E76" s="333"/>
      <c r="F76" s="137"/>
      <c r="G76" s="333"/>
      <c r="H76" s="15"/>
      <c r="I76" s="835"/>
      <c r="J76" s="12"/>
      <c r="K76" s="368"/>
      <c r="L76" s="12"/>
      <c r="M76" s="368"/>
      <c r="N76" s="12"/>
      <c r="O76" s="368"/>
      <c r="P76" s="12"/>
      <c r="Q76" s="368"/>
      <c r="R76" s="12"/>
      <c r="S76" s="368"/>
      <c r="T76" s="12"/>
      <c r="U76" s="368"/>
      <c r="V76" s="11"/>
      <c r="W76" s="363"/>
      <c r="X76" s="11">
        <v>2</v>
      </c>
      <c r="Y76" s="363">
        <v>401.4</v>
      </c>
      <c r="Z76" s="11"/>
      <c r="AA76" s="363"/>
      <c r="AB76" s="11"/>
      <c r="AC76" s="363"/>
      <c r="AD76" s="11"/>
      <c r="AE76" s="363"/>
      <c r="AF76" s="11">
        <v>2</v>
      </c>
      <c r="AG76" s="363">
        <v>328.8</v>
      </c>
      <c r="AH76" s="11"/>
      <c r="AI76" s="363"/>
      <c r="AJ76" s="299"/>
      <c r="AK76" s="299"/>
      <c r="AL76" s="11"/>
      <c r="AM76" s="363"/>
      <c r="AN76" s="981">
        <f t="shared" si="4"/>
        <v>4</v>
      </c>
      <c r="AO76" s="812">
        <f t="shared" si="4"/>
        <v>730.2</v>
      </c>
    </row>
    <row r="77" spans="1:41" s="225" customFormat="1" ht="27" customHeight="1">
      <c r="A77" s="561" t="s">
        <v>639</v>
      </c>
      <c r="B77" s="137"/>
      <c r="C77" s="333"/>
      <c r="D77" s="12"/>
      <c r="E77" s="333"/>
      <c r="F77" s="137"/>
      <c r="G77" s="333"/>
      <c r="H77" s="15"/>
      <c r="I77" s="835"/>
      <c r="J77" s="12"/>
      <c r="K77" s="368"/>
      <c r="L77" s="582"/>
      <c r="M77" s="583"/>
      <c r="N77" s="582"/>
      <c r="O77" s="583"/>
      <c r="P77" s="582"/>
      <c r="Q77" s="583"/>
      <c r="R77" s="582"/>
      <c r="S77" s="583"/>
      <c r="T77" s="582"/>
      <c r="U77" s="583"/>
      <c r="V77" s="17"/>
      <c r="W77" s="364"/>
      <c r="X77" s="17"/>
      <c r="Y77" s="364"/>
      <c r="Z77" s="17"/>
      <c r="AA77" s="364"/>
      <c r="AB77" s="17"/>
      <c r="AC77" s="364"/>
      <c r="AD77" s="17"/>
      <c r="AE77" s="364"/>
      <c r="AF77" s="17"/>
      <c r="AG77" s="364"/>
      <c r="AH77" s="17"/>
      <c r="AI77" s="364"/>
      <c r="AJ77" s="332"/>
      <c r="AK77" s="332"/>
      <c r="AL77" s="17"/>
      <c r="AM77" s="364"/>
      <c r="AN77" s="983">
        <f t="shared" si="4"/>
        <v>0</v>
      </c>
      <c r="AO77" s="984">
        <f t="shared" si="4"/>
        <v>0</v>
      </c>
    </row>
    <row r="78" spans="1:41" s="86" customFormat="1" ht="27" customHeight="1">
      <c r="A78" s="561" t="s">
        <v>204</v>
      </c>
      <c r="B78" s="137"/>
      <c r="C78" s="333"/>
      <c r="D78" s="12"/>
      <c r="E78" s="333"/>
      <c r="F78" s="137"/>
      <c r="G78" s="333"/>
      <c r="H78" s="15"/>
      <c r="I78" s="835"/>
      <c r="J78" s="12"/>
      <c r="K78" s="368">
        <v>266.4</v>
      </c>
      <c r="L78" s="12"/>
      <c r="M78" s="368">
        <v>217.5</v>
      </c>
      <c r="N78" s="12"/>
      <c r="O78" s="368"/>
      <c r="P78" s="12"/>
      <c r="Q78" s="368"/>
      <c r="R78" s="12"/>
      <c r="S78" s="368"/>
      <c r="T78" s="12"/>
      <c r="U78" s="368"/>
      <c r="V78" s="11"/>
      <c r="W78" s="363"/>
      <c r="X78" s="11">
        <v>3</v>
      </c>
      <c r="Y78" s="363">
        <v>611</v>
      </c>
      <c r="Z78" s="11"/>
      <c r="AA78" s="363">
        <v>676.2</v>
      </c>
      <c r="AB78" s="11"/>
      <c r="AC78" s="363">
        <v>251.9</v>
      </c>
      <c r="AD78" s="11"/>
      <c r="AE78" s="363"/>
      <c r="AF78" s="11"/>
      <c r="AG78" s="363">
        <v>375.9</v>
      </c>
      <c r="AH78" s="11">
        <v>3</v>
      </c>
      <c r="AI78" s="363">
        <v>286.3</v>
      </c>
      <c r="AJ78" s="299"/>
      <c r="AK78" s="299">
        <v>86.4</v>
      </c>
      <c r="AL78" s="11"/>
      <c r="AM78" s="363"/>
      <c r="AN78" s="981">
        <f t="shared" si="4"/>
        <v>6</v>
      </c>
      <c r="AO78" s="812">
        <f t="shared" si="4"/>
        <v>2771.6000000000004</v>
      </c>
    </row>
    <row r="79" spans="1:41" s="86" customFormat="1" ht="27" customHeight="1">
      <c r="A79" s="561" t="s">
        <v>640</v>
      </c>
      <c r="B79" s="137"/>
      <c r="C79" s="333"/>
      <c r="D79" s="12"/>
      <c r="E79" s="333"/>
      <c r="F79" s="137"/>
      <c r="G79" s="333"/>
      <c r="H79" s="15"/>
      <c r="I79" s="835"/>
      <c r="J79" s="12"/>
      <c r="K79" s="368"/>
      <c r="L79" s="12"/>
      <c r="M79" s="368"/>
      <c r="N79" s="12"/>
      <c r="O79" s="368"/>
      <c r="P79" s="12"/>
      <c r="Q79" s="368"/>
      <c r="R79" s="12"/>
      <c r="S79" s="368"/>
      <c r="T79" s="12"/>
      <c r="U79" s="368"/>
      <c r="V79" s="11"/>
      <c r="W79" s="363"/>
      <c r="X79" s="11">
        <v>1</v>
      </c>
      <c r="Y79" s="363">
        <v>165</v>
      </c>
      <c r="Z79" s="11"/>
      <c r="AA79" s="363"/>
      <c r="AB79" s="11"/>
      <c r="AC79" s="363"/>
      <c r="AD79" s="11"/>
      <c r="AE79" s="363"/>
      <c r="AF79" s="11"/>
      <c r="AG79" s="363"/>
      <c r="AH79" s="11"/>
      <c r="AI79" s="363"/>
      <c r="AJ79" s="299"/>
      <c r="AK79" s="299"/>
      <c r="AL79" s="11"/>
      <c r="AM79" s="363"/>
      <c r="AN79" s="981">
        <f t="shared" si="4"/>
        <v>1</v>
      </c>
      <c r="AO79" s="812">
        <f t="shared" si="4"/>
        <v>165</v>
      </c>
    </row>
    <row r="80" spans="1:41" s="86" customFormat="1" ht="27" customHeight="1">
      <c r="A80" s="96" t="s">
        <v>128</v>
      </c>
      <c r="B80" s="137"/>
      <c r="C80" s="333"/>
      <c r="D80" s="12"/>
      <c r="E80" s="333"/>
      <c r="F80" s="137"/>
      <c r="G80" s="333"/>
      <c r="H80" s="15"/>
      <c r="I80" s="835"/>
      <c r="J80" s="12"/>
      <c r="K80" s="368"/>
      <c r="L80" s="12"/>
      <c r="M80" s="368"/>
      <c r="N80" s="12"/>
      <c r="O80" s="368"/>
      <c r="P80" s="12"/>
      <c r="Q80" s="368"/>
      <c r="R80" s="12"/>
      <c r="S80" s="368"/>
      <c r="T80" s="12"/>
      <c r="U80" s="368"/>
      <c r="V80" s="11"/>
      <c r="W80" s="363"/>
      <c r="X80" s="11"/>
      <c r="Y80" s="363"/>
      <c r="Z80" s="11"/>
      <c r="AA80" s="363"/>
      <c r="AB80" s="11"/>
      <c r="AC80" s="363"/>
      <c r="AD80" s="11"/>
      <c r="AE80" s="363"/>
      <c r="AF80" s="11"/>
      <c r="AG80" s="363"/>
      <c r="AH80" s="11"/>
      <c r="AI80" s="363"/>
      <c r="AJ80" s="299"/>
      <c r="AK80" s="299"/>
      <c r="AL80" s="11"/>
      <c r="AM80" s="363"/>
      <c r="AN80" s="981">
        <f t="shared" si="4"/>
        <v>0</v>
      </c>
      <c r="AO80" s="812">
        <f t="shared" si="4"/>
        <v>0</v>
      </c>
    </row>
    <row r="81" spans="1:41" s="86" customFormat="1" ht="27" customHeight="1">
      <c r="A81" s="561" t="s">
        <v>641</v>
      </c>
      <c r="B81" s="137"/>
      <c r="C81" s="333"/>
      <c r="D81" s="12"/>
      <c r="E81" s="333"/>
      <c r="F81" s="137"/>
      <c r="G81" s="333"/>
      <c r="H81" s="15"/>
      <c r="I81" s="835"/>
      <c r="J81" s="12"/>
      <c r="K81" s="368"/>
      <c r="L81" s="12"/>
      <c r="M81" s="368"/>
      <c r="N81" s="12"/>
      <c r="O81" s="368"/>
      <c r="P81" s="12"/>
      <c r="Q81" s="368"/>
      <c r="R81" s="12"/>
      <c r="S81" s="368"/>
      <c r="T81" s="12"/>
      <c r="U81" s="368"/>
      <c r="V81" s="11"/>
      <c r="W81" s="363"/>
      <c r="X81" s="11"/>
      <c r="Y81" s="363"/>
      <c r="Z81" s="11"/>
      <c r="AA81" s="363"/>
      <c r="AB81" s="11"/>
      <c r="AC81" s="363"/>
      <c r="AD81" s="11"/>
      <c r="AE81" s="363"/>
      <c r="AF81" s="11"/>
      <c r="AG81" s="363"/>
      <c r="AH81" s="11"/>
      <c r="AI81" s="363"/>
      <c r="AJ81" s="299"/>
      <c r="AK81" s="299"/>
      <c r="AL81" s="11"/>
      <c r="AM81" s="363"/>
      <c r="AN81" s="981">
        <f t="shared" si="4"/>
        <v>0</v>
      </c>
      <c r="AO81" s="812">
        <f t="shared" si="4"/>
        <v>0</v>
      </c>
    </row>
    <row r="82" spans="1:41" s="86" customFormat="1" ht="27" customHeight="1">
      <c r="A82" s="561" t="s">
        <v>642</v>
      </c>
      <c r="B82" s="137"/>
      <c r="C82" s="333"/>
      <c r="D82" s="12"/>
      <c r="E82" s="333"/>
      <c r="F82" s="137"/>
      <c r="G82" s="333"/>
      <c r="H82" s="15"/>
      <c r="I82" s="835"/>
      <c r="J82" s="12"/>
      <c r="K82" s="368"/>
      <c r="L82" s="12"/>
      <c r="M82" s="368"/>
      <c r="N82" s="12"/>
      <c r="O82" s="368"/>
      <c r="P82" s="12"/>
      <c r="Q82" s="368"/>
      <c r="R82" s="12"/>
      <c r="S82" s="368"/>
      <c r="T82" s="12"/>
      <c r="U82" s="368"/>
      <c r="V82" s="11"/>
      <c r="W82" s="363"/>
      <c r="X82" s="11"/>
      <c r="Y82" s="363"/>
      <c r="Z82" s="11"/>
      <c r="AA82" s="363"/>
      <c r="AB82" s="11"/>
      <c r="AC82" s="363"/>
      <c r="AD82" s="11"/>
      <c r="AE82" s="363"/>
      <c r="AF82" s="11"/>
      <c r="AG82" s="363"/>
      <c r="AH82" s="11"/>
      <c r="AI82" s="363"/>
      <c r="AJ82" s="299"/>
      <c r="AK82" s="299"/>
      <c r="AL82" s="11"/>
      <c r="AM82" s="363"/>
      <c r="AN82" s="981">
        <f aca="true" t="shared" si="5" ref="AN82:AO102">SUM(B82,D82,F82,H82,J82,L82,N82,P82,R82,T82,V82,X82,Z82,AB82,AD82,AF82,AH82,AL82,AJ82)</f>
        <v>0</v>
      </c>
      <c r="AO82" s="812">
        <f t="shared" si="5"/>
        <v>0</v>
      </c>
    </row>
    <row r="83" spans="1:41" s="86" customFormat="1" ht="27" customHeight="1">
      <c r="A83" s="561" t="s">
        <v>643</v>
      </c>
      <c r="B83" s="137"/>
      <c r="C83" s="333"/>
      <c r="D83" s="12"/>
      <c r="E83" s="333"/>
      <c r="F83" s="137"/>
      <c r="G83" s="333"/>
      <c r="H83" s="15"/>
      <c r="I83" s="835"/>
      <c r="J83" s="12"/>
      <c r="K83" s="368"/>
      <c r="L83" s="12"/>
      <c r="M83" s="368"/>
      <c r="N83" s="12"/>
      <c r="O83" s="368"/>
      <c r="P83" s="12"/>
      <c r="Q83" s="368"/>
      <c r="R83" s="12"/>
      <c r="S83" s="368"/>
      <c r="T83" s="12"/>
      <c r="U83" s="368"/>
      <c r="V83" s="11"/>
      <c r="W83" s="363"/>
      <c r="X83" s="11"/>
      <c r="Y83" s="363"/>
      <c r="Z83" s="11"/>
      <c r="AA83" s="363"/>
      <c r="AB83" s="11"/>
      <c r="AC83" s="363"/>
      <c r="AD83" s="11"/>
      <c r="AE83" s="363"/>
      <c r="AF83" s="11"/>
      <c r="AG83" s="363"/>
      <c r="AH83" s="11"/>
      <c r="AI83" s="363"/>
      <c r="AJ83" s="299"/>
      <c r="AK83" s="299"/>
      <c r="AL83" s="11"/>
      <c r="AM83" s="363"/>
      <c r="AN83" s="981">
        <f t="shared" si="5"/>
        <v>0</v>
      </c>
      <c r="AO83" s="812">
        <f t="shared" si="5"/>
        <v>0</v>
      </c>
    </row>
    <row r="84" spans="1:41" s="86" customFormat="1" ht="27" customHeight="1">
      <c r="A84" s="745" t="s">
        <v>385</v>
      </c>
      <c r="B84" s="208"/>
      <c r="C84" s="593"/>
      <c r="D84" s="582"/>
      <c r="E84" s="593"/>
      <c r="F84" s="208"/>
      <c r="G84" s="593"/>
      <c r="H84" s="18"/>
      <c r="I84" s="836"/>
      <c r="J84" s="582"/>
      <c r="K84" s="583"/>
      <c r="L84" s="12"/>
      <c r="M84" s="368"/>
      <c r="N84" s="12"/>
      <c r="O84" s="368"/>
      <c r="P84" s="12"/>
      <c r="Q84" s="368"/>
      <c r="R84" s="12"/>
      <c r="S84" s="368"/>
      <c r="T84" s="12"/>
      <c r="U84" s="368"/>
      <c r="V84" s="11"/>
      <c r="W84" s="363"/>
      <c r="X84" s="11">
        <v>1</v>
      </c>
      <c r="Y84" s="363">
        <v>165</v>
      </c>
      <c r="Z84" s="11"/>
      <c r="AA84" s="363"/>
      <c r="AB84" s="11"/>
      <c r="AC84" s="363"/>
      <c r="AD84" s="11"/>
      <c r="AE84" s="363"/>
      <c r="AF84" s="11"/>
      <c r="AG84" s="363"/>
      <c r="AH84" s="11"/>
      <c r="AI84" s="363"/>
      <c r="AJ84" s="299"/>
      <c r="AK84" s="299"/>
      <c r="AL84" s="11"/>
      <c r="AM84" s="363"/>
      <c r="AN84" s="983">
        <f t="shared" si="5"/>
        <v>1</v>
      </c>
      <c r="AO84" s="984">
        <f t="shared" si="5"/>
        <v>165</v>
      </c>
    </row>
    <row r="85" spans="1:41" s="290" customFormat="1" ht="27" customHeight="1">
      <c r="A85" s="1128" t="s">
        <v>129</v>
      </c>
      <c r="B85" s="206"/>
      <c r="C85" s="344"/>
      <c r="D85" s="148"/>
      <c r="E85" s="344"/>
      <c r="F85" s="148"/>
      <c r="G85" s="344"/>
      <c r="H85" s="148"/>
      <c r="I85" s="837"/>
      <c r="J85" s="148"/>
      <c r="K85" s="837"/>
      <c r="L85" s="148"/>
      <c r="M85" s="837"/>
      <c r="N85" s="148"/>
      <c r="O85" s="837"/>
      <c r="P85" s="148"/>
      <c r="Q85" s="837"/>
      <c r="R85" s="148"/>
      <c r="S85" s="837"/>
      <c r="T85" s="148"/>
      <c r="U85" s="837"/>
      <c r="V85" s="148"/>
      <c r="W85" s="837"/>
      <c r="X85" s="148"/>
      <c r="Y85" s="837"/>
      <c r="Z85" s="148"/>
      <c r="AA85" s="837"/>
      <c r="AB85" s="148"/>
      <c r="AC85" s="837"/>
      <c r="AD85" s="148"/>
      <c r="AE85" s="837"/>
      <c r="AF85" s="148"/>
      <c r="AG85" s="837"/>
      <c r="AH85" s="148"/>
      <c r="AI85" s="837"/>
      <c r="AJ85" s="344"/>
      <c r="AK85" s="344"/>
      <c r="AL85" s="148"/>
      <c r="AM85" s="837"/>
      <c r="AN85" s="981"/>
      <c r="AO85" s="812"/>
    </row>
    <row r="86" spans="1:41" s="290" customFormat="1" ht="27" customHeight="1">
      <c r="A86" s="1155" t="s">
        <v>171</v>
      </c>
      <c r="B86" s="137"/>
      <c r="C86" s="333">
        <v>125.2</v>
      </c>
      <c r="D86" s="12"/>
      <c r="E86" s="333"/>
      <c r="F86" s="137"/>
      <c r="G86" s="333"/>
      <c r="H86" s="15"/>
      <c r="I86" s="835"/>
      <c r="J86" s="12"/>
      <c r="K86" s="368"/>
      <c r="L86" s="12"/>
      <c r="M86" s="368"/>
      <c r="N86" s="12"/>
      <c r="O86" s="368"/>
      <c r="P86" s="12"/>
      <c r="Q86" s="368"/>
      <c r="R86" s="12"/>
      <c r="S86" s="368"/>
      <c r="T86" s="12"/>
      <c r="U86" s="368"/>
      <c r="V86" s="11"/>
      <c r="W86" s="363"/>
      <c r="X86" s="11"/>
      <c r="Y86" s="363"/>
      <c r="Z86" s="11"/>
      <c r="AA86" s="363"/>
      <c r="AB86" s="11"/>
      <c r="AC86" s="363"/>
      <c r="AD86" s="11"/>
      <c r="AE86" s="363"/>
      <c r="AF86" s="11"/>
      <c r="AG86" s="363"/>
      <c r="AH86" s="11"/>
      <c r="AI86" s="363"/>
      <c r="AJ86" s="299"/>
      <c r="AK86" s="299"/>
      <c r="AL86" s="11"/>
      <c r="AM86" s="363"/>
      <c r="AN86" s="981">
        <f t="shared" si="5"/>
        <v>0</v>
      </c>
      <c r="AO86" s="812">
        <f t="shared" si="5"/>
        <v>125.2</v>
      </c>
    </row>
    <row r="87" spans="1:41" s="290" customFormat="1" ht="27" customHeight="1">
      <c r="A87" s="561" t="s">
        <v>644</v>
      </c>
      <c r="B87" s="137"/>
      <c r="C87" s="333"/>
      <c r="D87" s="12"/>
      <c r="E87" s="333"/>
      <c r="F87" s="137"/>
      <c r="G87" s="333"/>
      <c r="H87" s="15"/>
      <c r="I87" s="835"/>
      <c r="J87" s="12"/>
      <c r="K87" s="368"/>
      <c r="L87" s="12"/>
      <c r="M87" s="368"/>
      <c r="N87" s="12"/>
      <c r="O87" s="368"/>
      <c r="P87" s="12"/>
      <c r="Q87" s="368"/>
      <c r="R87" s="12"/>
      <c r="S87" s="368"/>
      <c r="T87" s="12"/>
      <c r="U87" s="368"/>
      <c r="V87" s="11"/>
      <c r="W87" s="363"/>
      <c r="X87" s="11"/>
      <c r="Y87" s="363"/>
      <c r="Z87" s="11">
        <v>2</v>
      </c>
      <c r="AA87" s="363">
        <v>11.4</v>
      </c>
      <c r="AB87" s="11"/>
      <c r="AC87" s="363"/>
      <c r="AD87" s="11"/>
      <c r="AE87" s="363"/>
      <c r="AF87" s="11"/>
      <c r="AG87" s="363"/>
      <c r="AH87" s="11"/>
      <c r="AI87" s="363"/>
      <c r="AJ87" s="299"/>
      <c r="AK87" s="299"/>
      <c r="AL87" s="11"/>
      <c r="AM87" s="363"/>
      <c r="AN87" s="981">
        <f t="shared" si="5"/>
        <v>2</v>
      </c>
      <c r="AO87" s="812">
        <f t="shared" si="5"/>
        <v>11.4</v>
      </c>
    </row>
    <row r="88" spans="1:41" s="290" customFormat="1" ht="27" customHeight="1">
      <c r="A88" s="561" t="s">
        <v>645</v>
      </c>
      <c r="B88" s="137"/>
      <c r="C88" s="333"/>
      <c r="D88" s="12"/>
      <c r="E88" s="333"/>
      <c r="F88" s="137"/>
      <c r="G88" s="333"/>
      <c r="H88" s="15"/>
      <c r="I88" s="835"/>
      <c r="J88" s="12"/>
      <c r="K88" s="368"/>
      <c r="L88" s="12"/>
      <c r="M88" s="368"/>
      <c r="N88" s="12"/>
      <c r="O88" s="368"/>
      <c r="P88" s="12"/>
      <c r="Q88" s="368"/>
      <c r="R88" s="12"/>
      <c r="S88" s="368"/>
      <c r="T88" s="12"/>
      <c r="U88" s="368"/>
      <c r="V88" s="11"/>
      <c r="W88" s="363"/>
      <c r="X88" s="11"/>
      <c r="Y88" s="363"/>
      <c r="Z88" s="11"/>
      <c r="AA88" s="363"/>
      <c r="AB88" s="11"/>
      <c r="AC88" s="363"/>
      <c r="AD88" s="11"/>
      <c r="AE88" s="363"/>
      <c r="AF88" s="11"/>
      <c r="AG88" s="363"/>
      <c r="AH88" s="11"/>
      <c r="AI88" s="363"/>
      <c r="AJ88" s="299"/>
      <c r="AK88" s="299"/>
      <c r="AL88" s="11"/>
      <c r="AM88" s="363"/>
      <c r="AN88" s="981">
        <f t="shared" si="5"/>
        <v>0</v>
      </c>
      <c r="AO88" s="812">
        <f t="shared" si="5"/>
        <v>0</v>
      </c>
    </row>
    <row r="89" spans="1:41" s="290" customFormat="1" ht="27" customHeight="1">
      <c r="A89" s="561" t="s">
        <v>227</v>
      </c>
      <c r="B89" s="137"/>
      <c r="C89" s="333"/>
      <c r="D89" s="12"/>
      <c r="E89" s="333"/>
      <c r="F89" s="137"/>
      <c r="G89" s="333"/>
      <c r="H89" s="15"/>
      <c r="I89" s="835"/>
      <c r="J89" s="12"/>
      <c r="K89" s="368"/>
      <c r="L89" s="12"/>
      <c r="M89" s="368"/>
      <c r="N89" s="12"/>
      <c r="O89" s="368"/>
      <c r="P89" s="12"/>
      <c r="Q89" s="368"/>
      <c r="R89" s="12"/>
      <c r="S89" s="368"/>
      <c r="T89" s="12"/>
      <c r="U89" s="368"/>
      <c r="V89" s="11"/>
      <c r="W89" s="363"/>
      <c r="X89" s="11"/>
      <c r="Y89" s="363"/>
      <c r="Z89" s="11"/>
      <c r="AA89" s="363"/>
      <c r="AB89" s="11"/>
      <c r="AC89" s="363"/>
      <c r="AD89" s="11"/>
      <c r="AE89" s="363"/>
      <c r="AF89" s="11"/>
      <c r="AG89" s="363"/>
      <c r="AH89" s="11"/>
      <c r="AI89" s="363"/>
      <c r="AJ89" s="299"/>
      <c r="AK89" s="299"/>
      <c r="AL89" s="11"/>
      <c r="AM89" s="363"/>
      <c r="AN89" s="981">
        <f t="shared" si="5"/>
        <v>0</v>
      </c>
      <c r="AO89" s="812">
        <f t="shared" si="5"/>
        <v>0</v>
      </c>
    </row>
    <row r="90" spans="1:41" s="290" customFormat="1" ht="27" customHeight="1">
      <c r="A90" s="561" t="s">
        <v>646</v>
      </c>
      <c r="B90" s="137"/>
      <c r="C90" s="333"/>
      <c r="D90" s="12"/>
      <c r="E90" s="333"/>
      <c r="F90" s="137"/>
      <c r="G90" s="333"/>
      <c r="H90" s="15"/>
      <c r="I90" s="835"/>
      <c r="J90" s="12"/>
      <c r="K90" s="368"/>
      <c r="L90" s="12"/>
      <c r="M90" s="368"/>
      <c r="N90" s="12"/>
      <c r="O90" s="368"/>
      <c r="P90" s="12"/>
      <c r="Q90" s="368"/>
      <c r="R90" s="12"/>
      <c r="S90" s="368"/>
      <c r="T90" s="12"/>
      <c r="U90" s="368"/>
      <c r="V90" s="11"/>
      <c r="W90" s="363"/>
      <c r="X90" s="11"/>
      <c r="Y90" s="363"/>
      <c r="Z90" s="11"/>
      <c r="AA90" s="363"/>
      <c r="AB90" s="11"/>
      <c r="AC90" s="363"/>
      <c r="AD90" s="11"/>
      <c r="AE90" s="363"/>
      <c r="AF90" s="11"/>
      <c r="AG90" s="363"/>
      <c r="AH90" s="11"/>
      <c r="AI90" s="363"/>
      <c r="AJ90" s="299"/>
      <c r="AK90" s="299"/>
      <c r="AL90" s="11"/>
      <c r="AM90" s="363"/>
      <c r="AN90" s="981">
        <f t="shared" si="5"/>
        <v>0</v>
      </c>
      <c r="AO90" s="812">
        <f t="shared" si="5"/>
        <v>0</v>
      </c>
    </row>
    <row r="91" spans="1:41" s="290" customFormat="1" ht="27" customHeight="1">
      <c r="A91" s="561" t="s">
        <v>387</v>
      </c>
      <c r="B91" s="137"/>
      <c r="C91" s="333"/>
      <c r="D91" s="12"/>
      <c r="E91" s="333"/>
      <c r="F91" s="137"/>
      <c r="G91" s="333"/>
      <c r="H91" s="15"/>
      <c r="I91" s="835"/>
      <c r="J91" s="12"/>
      <c r="K91" s="368"/>
      <c r="L91" s="12"/>
      <c r="M91" s="368"/>
      <c r="N91" s="12"/>
      <c r="O91" s="368"/>
      <c r="P91" s="12"/>
      <c r="Q91" s="368"/>
      <c r="R91" s="12"/>
      <c r="S91" s="368"/>
      <c r="T91" s="12"/>
      <c r="U91" s="368"/>
      <c r="V91" s="11"/>
      <c r="W91" s="363"/>
      <c r="X91" s="11"/>
      <c r="Y91" s="363"/>
      <c r="Z91" s="11">
        <v>6</v>
      </c>
      <c r="AA91" s="363">
        <v>34.2</v>
      </c>
      <c r="AB91" s="11"/>
      <c r="AC91" s="363"/>
      <c r="AD91" s="11"/>
      <c r="AE91" s="363"/>
      <c r="AF91" s="11"/>
      <c r="AG91" s="363"/>
      <c r="AH91" s="11"/>
      <c r="AI91" s="363"/>
      <c r="AJ91" s="299"/>
      <c r="AK91" s="299"/>
      <c r="AL91" s="11"/>
      <c r="AM91" s="363"/>
      <c r="AN91" s="981">
        <f t="shared" si="5"/>
        <v>6</v>
      </c>
      <c r="AO91" s="812">
        <f t="shared" si="5"/>
        <v>34.2</v>
      </c>
    </row>
    <row r="92" spans="1:41" s="290" customFormat="1" ht="27" customHeight="1">
      <c r="A92" s="561" t="s">
        <v>647</v>
      </c>
      <c r="B92" s="137"/>
      <c r="C92" s="333"/>
      <c r="D92" s="12"/>
      <c r="E92" s="333"/>
      <c r="F92" s="137"/>
      <c r="G92" s="333"/>
      <c r="H92" s="15"/>
      <c r="I92" s="835"/>
      <c r="J92" s="12"/>
      <c r="K92" s="368"/>
      <c r="L92" s="12"/>
      <c r="M92" s="368"/>
      <c r="N92" s="12"/>
      <c r="O92" s="368"/>
      <c r="P92" s="12"/>
      <c r="Q92" s="368"/>
      <c r="R92" s="12"/>
      <c r="S92" s="368"/>
      <c r="T92" s="12"/>
      <c r="U92" s="368"/>
      <c r="V92" s="11"/>
      <c r="W92" s="363"/>
      <c r="X92" s="11"/>
      <c r="Y92" s="363"/>
      <c r="Z92" s="11"/>
      <c r="AA92" s="363"/>
      <c r="AB92" s="11"/>
      <c r="AC92" s="363"/>
      <c r="AD92" s="11"/>
      <c r="AE92" s="363"/>
      <c r="AF92" s="11"/>
      <c r="AG92" s="363"/>
      <c r="AH92" s="11"/>
      <c r="AI92" s="363"/>
      <c r="AJ92" s="299"/>
      <c r="AK92" s="299"/>
      <c r="AL92" s="11"/>
      <c r="AM92" s="363"/>
      <c r="AN92" s="981">
        <f t="shared" si="5"/>
        <v>0</v>
      </c>
      <c r="AO92" s="812">
        <f t="shared" si="5"/>
        <v>0</v>
      </c>
    </row>
    <row r="93" spans="1:41" s="290" customFormat="1" ht="27" customHeight="1">
      <c r="A93" s="561" t="s">
        <v>648</v>
      </c>
      <c r="B93" s="137"/>
      <c r="C93" s="333"/>
      <c r="D93" s="12"/>
      <c r="E93" s="333"/>
      <c r="F93" s="137"/>
      <c r="G93" s="333"/>
      <c r="H93" s="15"/>
      <c r="I93" s="835"/>
      <c r="J93" s="12"/>
      <c r="K93" s="368"/>
      <c r="L93" s="12"/>
      <c r="M93" s="368"/>
      <c r="N93" s="12"/>
      <c r="O93" s="368"/>
      <c r="P93" s="12"/>
      <c r="Q93" s="368"/>
      <c r="R93" s="12"/>
      <c r="S93" s="368"/>
      <c r="T93" s="12"/>
      <c r="U93" s="368"/>
      <c r="V93" s="11"/>
      <c r="W93" s="363"/>
      <c r="X93" s="11"/>
      <c r="Y93" s="363"/>
      <c r="Z93" s="11"/>
      <c r="AA93" s="363"/>
      <c r="AB93" s="11"/>
      <c r="AC93" s="363"/>
      <c r="AD93" s="11"/>
      <c r="AE93" s="363"/>
      <c r="AF93" s="11"/>
      <c r="AG93" s="363"/>
      <c r="AH93" s="11"/>
      <c r="AI93" s="363"/>
      <c r="AJ93" s="299"/>
      <c r="AK93" s="299"/>
      <c r="AL93" s="11"/>
      <c r="AM93" s="363"/>
      <c r="AN93" s="981">
        <f t="shared" si="5"/>
        <v>0</v>
      </c>
      <c r="AO93" s="812">
        <f t="shared" si="5"/>
        <v>0</v>
      </c>
    </row>
    <row r="94" spans="1:41" s="290" customFormat="1" ht="27" customHeight="1">
      <c r="A94" s="561" t="s">
        <v>379</v>
      </c>
      <c r="B94" s="137"/>
      <c r="C94" s="333"/>
      <c r="D94" s="12"/>
      <c r="E94" s="333"/>
      <c r="F94" s="137"/>
      <c r="G94" s="333"/>
      <c r="H94" s="15"/>
      <c r="I94" s="835"/>
      <c r="J94" s="12"/>
      <c r="K94" s="368"/>
      <c r="L94" s="12"/>
      <c r="M94" s="368"/>
      <c r="N94" s="12"/>
      <c r="O94" s="368"/>
      <c r="P94" s="12"/>
      <c r="Q94" s="368"/>
      <c r="R94" s="12"/>
      <c r="S94" s="368"/>
      <c r="T94" s="12"/>
      <c r="U94" s="368"/>
      <c r="V94" s="11"/>
      <c r="W94" s="363"/>
      <c r="X94" s="11">
        <v>2</v>
      </c>
      <c r="Y94" s="363">
        <v>330</v>
      </c>
      <c r="Z94" s="11"/>
      <c r="AA94" s="363"/>
      <c r="AB94" s="11"/>
      <c r="AC94" s="363"/>
      <c r="AD94" s="11"/>
      <c r="AE94" s="363"/>
      <c r="AF94" s="11"/>
      <c r="AG94" s="363"/>
      <c r="AH94" s="11"/>
      <c r="AI94" s="363"/>
      <c r="AJ94" s="299"/>
      <c r="AK94" s="299"/>
      <c r="AL94" s="11"/>
      <c r="AM94" s="363"/>
      <c r="AN94" s="981">
        <f t="shared" si="5"/>
        <v>2</v>
      </c>
      <c r="AO94" s="812">
        <f t="shared" si="5"/>
        <v>330</v>
      </c>
    </row>
    <row r="95" spans="1:41" s="290" customFormat="1" ht="27" customHeight="1">
      <c r="A95" s="561" t="s">
        <v>649</v>
      </c>
      <c r="B95" s="137"/>
      <c r="C95" s="333"/>
      <c r="D95" s="12"/>
      <c r="E95" s="333"/>
      <c r="F95" s="137"/>
      <c r="G95" s="333"/>
      <c r="H95" s="15"/>
      <c r="I95" s="835"/>
      <c r="J95" s="12"/>
      <c r="K95" s="368"/>
      <c r="L95" s="12"/>
      <c r="M95" s="368"/>
      <c r="N95" s="12"/>
      <c r="O95" s="368"/>
      <c r="P95" s="12"/>
      <c r="Q95" s="368"/>
      <c r="R95" s="12"/>
      <c r="S95" s="368"/>
      <c r="T95" s="12"/>
      <c r="U95" s="368"/>
      <c r="V95" s="11"/>
      <c r="W95" s="363"/>
      <c r="X95" s="11"/>
      <c r="Y95" s="363"/>
      <c r="Z95" s="11"/>
      <c r="AA95" s="363"/>
      <c r="AB95" s="11"/>
      <c r="AC95" s="363"/>
      <c r="AD95" s="11"/>
      <c r="AE95" s="363"/>
      <c r="AF95" s="11"/>
      <c r="AG95" s="363"/>
      <c r="AH95" s="11"/>
      <c r="AI95" s="363"/>
      <c r="AJ95" s="299"/>
      <c r="AK95" s="299"/>
      <c r="AL95" s="11"/>
      <c r="AM95" s="363"/>
      <c r="AN95" s="981">
        <f t="shared" si="5"/>
        <v>0</v>
      </c>
      <c r="AO95" s="812">
        <f t="shared" si="5"/>
        <v>0</v>
      </c>
    </row>
    <row r="96" spans="1:41" s="290" customFormat="1" ht="27" customHeight="1">
      <c r="A96" s="561" t="s">
        <v>650</v>
      </c>
      <c r="B96" s="137"/>
      <c r="C96" s="333"/>
      <c r="D96" s="12"/>
      <c r="E96" s="333"/>
      <c r="F96" s="137"/>
      <c r="G96" s="333"/>
      <c r="H96" s="15"/>
      <c r="I96" s="835"/>
      <c r="J96" s="12"/>
      <c r="K96" s="368"/>
      <c r="L96" s="12"/>
      <c r="M96" s="368"/>
      <c r="N96" s="12"/>
      <c r="O96" s="368"/>
      <c r="P96" s="12"/>
      <c r="Q96" s="368"/>
      <c r="R96" s="12"/>
      <c r="S96" s="368"/>
      <c r="T96" s="12"/>
      <c r="U96" s="368"/>
      <c r="V96" s="11"/>
      <c r="W96" s="363"/>
      <c r="X96" s="11"/>
      <c r="Y96" s="363"/>
      <c r="Z96" s="11"/>
      <c r="AA96" s="363"/>
      <c r="AB96" s="11"/>
      <c r="AC96" s="363"/>
      <c r="AD96" s="11"/>
      <c r="AE96" s="363"/>
      <c r="AF96" s="11"/>
      <c r="AG96" s="363"/>
      <c r="AH96" s="11"/>
      <c r="AI96" s="363"/>
      <c r="AJ96" s="299"/>
      <c r="AK96" s="299"/>
      <c r="AL96" s="11"/>
      <c r="AM96" s="363"/>
      <c r="AN96" s="981">
        <f t="shared" si="5"/>
        <v>0</v>
      </c>
      <c r="AO96" s="812">
        <f t="shared" si="5"/>
        <v>0</v>
      </c>
    </row>
    <row r="97" spans="1:41" s="290" customFormat="1" ht="27" customHeight="1">
      <c r="A97" s="561" t="s">
        <v>651</v>
      </c>
      <c r="B97" s="137"/>
      <c r="C97" s="333"/>
      <c r="D97" s="12"/>
      <c r="E97" s="333"/>
      <c r="F97" s="137"/>
      <c r="G97" s="333"/>
      <c r="H97" s="15"/>
      <c r="I97" s="835"/>
      <c r="J97" s="12"/>
      <c r="K97" s="368"/>
      <c r="L97" s="12"/>
      <c r="M97" s="368"/>
      <c r="N97" s="12"/>
      <c r="O97" s="368"/>
      <c r="P97" s="12"/>
      <c r="Q97" s="368"/>
      <c r="R97" s="12"/>
      <c r="S97" s="368"/>
      <c r="T97" s="12"/>
      <c r="U97" s="368"/>
      <c r="V97" s="11"/>
      <c r="W97" s="363"/>
      <c r="X97" s="11">
        <v>2</v>
      </c>
      <c r="Y97" s="363">
        <v>330</v>
      </c>
      <c r="Z97" s="11"/>
      <c r="AA97" s="363"/>
      <c r="AB97" s="11"/>
      <c r="AC97" s="363"/>
      <c r="AD97" s="11"/>
      <c r="AE97" s="363"/>
      <c r="AF97" s="11"/>
      <c r="AG97" s="363"/>
      <c r="AH97" s="11"/>
      <c r="AI97" s="363"/>
      <c r="AJ97" s="299"/>
      <c r="AK97" s="299"/>
      <c r="AL97" s="11"/>
      <c r="AM97" s="363"/>
      <c r="AN97" s="981">
        <f t="shared" si="5"/>
        <v>2</v>
      </c>
      <c r="AO97" s="812">
        <f t="shared" si="5"/>
        <v>330</v>
      </c>
    </row>
    <row r="98" spans="1:41" s="290" customFormat="1" ht="27" customHeight="1">
      <c r="A98" s="561" t="s">
        <v>174</v>
      </c>
      <c r="B98" s="137">
        <v>2</v>
      </c>
      <c r="C98" s="333">
        <v>398.4</v>
      </c>
      <c r="D98" s="12"/>
      <c r="E98" s="333"/>
      <c r="F98" s="137"/>
      <c r="G98" s="333"/>
      <c r="H98" s="15"/>
      <c r="I98" s="835"/>
      <c r="J98" s="12"/>
      <c r="K98" s="368"/>
      <c r="L98" s="12"/>
      <c r="M98" s="368"/>
      <c r="N98" s="12"/>
      <c r="O98" s="368"/>
      <c r="P98" s="12"/>
      <c r="Q98" s="368"/>
      <c r="R98" s="12"/>
      <c r="S98" s="368"/>
      <c r="T98" s="12"/>
      <c r="U98" s="368"/>
      <c r="V98" s="11"/>
      <c r="W98" s="363"/>
      <c r="X98" s="11"/>
      <c r="Y98" s="363"/>
      <c r="Z98" s="11"/>
      <c r="AA98" s="363"/>
      <c r="AB98" s="11"/>
      <c r="AC98" s="363"/>
      <c r="AD98" s="11"/>
      <c r="AE98" s="363"/>
      <c r="AF98" s="11"/>
      <c r="AG98" s="363"/>
      <c r="AH98" s="11"/>
      <c r="AI98" s="363"/>
      <c r="AJ98" s="299"/>
      <c r="AK98" s="299"/>
      <c r="AL98" s="11"/>
      <c r="AM98" s="363"/>
      <c r="AN98" s="981">
        <f t="shared" si="5"/>
        <v>2</v>
      </c>
      <c r="AO98" s="812">
        <f t="shared" si="5"/>
        <v>398.4</v>
      </c>
    </row>
    <row r="99" spans="1:41" s="290" customFormat="1" ht="27" customHeight="1">
      <c r="A99" s="561" t="s">
        <v>652</v>
      </c>
      <c r="B99" s="137"/>
      <c r="C99" s="333"/>
      <c r="D99" s="12"/>
      <c r="E99" s="333"/>
      <c r="F99" s="137"/>
      <c r="G99" s="333"/>
      <c r="H99" s="15"/>
      <c r="I99" s="835"/>
      <c r="J99" s="12"/>
      <c r="K99" s="368"/>
      <c r="L99" s="12"/>
      <c r="M99" s="368"/>
      <c r="N99" s="12"/>
      <c r="O99" s="368"/>
      <c r="P99" s="12"/>
      <c r="Q99" s="368"/>
      <c r="R99" s="12"/>
      <c r="S99" s="368"/>
      <c r="T99" s="12"/>
      <c r="U99" s="368"/>
      <c r="V99" s="11"/>
      <c r="W99" s="363"/>
      <c r="X99" s="11"/>
      <c r="Y99" s="363"/>
      <c r="Z99" s="11">
        <v>5</v>
      </c>
      <c r="AA99" s="363">
        <v>28.5</v>
      </c>
      <c r="AB99" s="11"/>
      <c r="AC99" s="363"/>
      <c r="AD99" s="11"/>
      <c r="AE99" s="363"/>
      <c r="AF99" s="11"/>
      <c r="AG99" s="363"/>
      <c r="AH99" s="11"/>
      <c r="AI99" s="363"/>
      <c r="AJ99" s="299"/>
      <c r="AK99" s="299"/>
      <c r="AL99" s="11"/>
      <c r="AM99" s="363"/>
      <c r="AN99" s="981">
        <f t="shared" si="5"/>
        <v>5</v>
      </c>
      <c r="AO99" s="812">
        <f t="shared" si="5"/>
        <v>28.5</v>
      </c>
    </row>
    <row r="100" spans="1:41" s="561" customFormat="1" ht="27" customHeight="1">
      <c r="A100" s="745" t="s">
        <v>653</v>
      </c>
      <c r="B100" s="208"/>
      <c r="C100" s="593"/>
      <c r="D100" s="582"/>
      <c r="E100" s="593"/>
      <c r="F100" s="208"/>
      <c r="G100" s="593"/>
      <c r="H100" s="18"/>
      <c r="I100" s="836"/>
      <c r="J100" s="582"/>
      <c r="K100" s="583"/>
      <c r="L100" s="12"/>
      <c r="M100" s="368"/>
      <c r="N100" s="12"/>
      <c r="O100" s="368"/>
      <c r="P100" s="12"/>
      <c r="Q100" s="368"/>
      <c r="R100" s="12"/>
      <c r="S100" s="368"/>
      <c r="T100" s="12"/>
      <c r="U100" s="368"/>
      <c r="V100" s="11"/>
      <c r="W100" s="363"/>
      <c r="X100" s="11">
        <v>2</v>
      </c>
      <c r="Y100" s="363">
        <v>330</v>
      </c>
      <c r="Z100" s="11"/>
      <c r="AA100" s="363"/>
      <c r="AB100" s="11"/>
      <c r="AC100" s="363"/>
      <c r="AD100" s="11"/>
      <c r="AE100" s="363"/>
      <c r="AF100" s="11"/>
      <c r="AG100" s="363"/>
      <c r="AH100" s="11"/>
      <c r="AI100" s="363"/>
      <c r="AJ100" s="299"/>
      <c r="AK100" s="299"/>
      <c r="AL100" s="11"/>
      <c r="AM100" s="363"/>
      <c r="AN100" s="981">
        <f t="shared" si="5"/>
        <v>2</v>
      </c>
      <c r="AO100" s="812">
        <f t="shared" si="5"/>
        <v>330</v>
      </c>
    </row>
    <row r="101" spans="1:41" s="561" customFormat="1" ht="27" customHeight="1">
      <c r="A101" s="1156" t="s">
        <v>597</v>
      </c>
      <c r="B101" s="1157"/>
      <c r="C101" s="1158"/>
      <c r="D101" s="1159"/>
      <c r="E101" s="1158"/>
      <c r="F101" s="1157"/>
      <c r="G101" s="1158"/>
      <c r="H101" s="1159"/>
      <c r="I101" s="1160"/>
      <c r="J101" s="1161"/>
      <c r="K101" s="1160"/>
      <c r="L101" s="1161"/>
      <c r="M101" s="1160"/>
      <c r="N101" s="1161"/>
      <c r="O101" s="1160"/>
      <c r="P101" s="1159"/>
      <c r="Q101" s="1160"/>
      <c r="R101" s="1164"/>
      <c r="S101" s="1152"/>
      <c r="T101" s="1164"/>
      <c r="U101" s="1152"/>
      <c r="V101" s="1150"/>
      <c r="W101" s="1152"/>
      <c r="X101" s="1164"/>
      <c r="Y101" s="1152"/>
      <c r="Z101" s="1150"/>
      <c r="AA101" s="1152"/>
      <c r="AB101" s="1149"/>
      <c r="AC101" s="1152"/>
      <c r="AD101" s="1165"/>
      <c r="AE101" s="1160"/>
      <c r="AF101" s="1166"/>
      <c r="AG101" s="1167"/>
      <c r="AH101" s="1165"/>
      <c r="AI101" s="1160"/>
      <c r="AJ101" s="1168"/>
      <c r="AK101" s="1168"/>
      <c r="AL101" s="1165"/>
      <c r="AM101" s="1160"/>
      <c r="AN101" s="1169">
        <f t="shared" si="5"/>
        <v>0</v>
      </c>
      <c r="AO101" s="1170">
        <f t="shared" si="5"/>
        <v>0</v>
      </c>
    </row>
    <row r="102" spans="1:41" s="561" customFormat="1" ht="27" customHeight="1">
      <c r="A102" s="745" t="s">
        <v>654</v>
      </c>
      <c r="B102" s="742"/>
      <c r="C102" s="743"/>
      <c r="D102" s="744"/>
      <c r="E102" s="743"/>
      <c r="F102" s="742"/>
      <c r="G102" s="743"/>
      <c r="H102" s="744"/>
      <c r="I102" s="838"/>
      <c r="J102" s="745"/>
      <c r="K102" s="838"/>
      <c r="L102" s="745"/>
      <c r="M102" s="838"/>
      <c r="N102" s="745"/>
      <c r="O102" s="838"/>
      <c r="P102" s="744"/>
      <c r="Q102" s="838"/>
      <c r="R102" s="207"/>
      <c r="S102" s="583"/>
      <c r="T102" s="207"/>
      <c r="U102" s="583"/>
      <c r="V102" s="18"/>
      <c r="W102" s="583"/>
      <c r="X102" s="207"/>
      <c r="Y102" s="583"/>
      <c r="Z102" s="18"/>
      <c r="AA102" s="583"/>
      <c r="AB102" s="582"/>
      <c r="AC102" s="583"/>
      <c r="AD102" s="226"/>
      <c r="AE102" s="838"/>
      <c r="AF102" s="749"/>
      <c r="AG102" s="843"/>
      <c r="AH102" s="226"/>
      <c r="AI102" s="838"/>
      <c r="AJ102" s="746"/>
      <c r="AK102" s="746"/>
      <c r="AL102" s="226"/>
      <c r="AM102" s="838"/>
      <c r="AN102" s="983">
        <f t="shared" si="5"/>
        <v>0</v>
      </c>
      <c r="AO102" s="984">
        <f t="shared" si="5"/>
        <v>0</v>
      </c>
    </row>
    <row r="103" spans="1:41" s="561" customFormat="1" ht="27" customHeight="1" thickBot="1">
      <c r="A103" s="1156" t="s">
        <v>613</v>
      </c>
      <c r="B103" s="1157"/>
      <c r="C103" s="1158"/>
      <c r="D103" s="1159"/>
      <c r="E103" s="1158"/>
      <c r="F103" s="1157"/>
      <c r="G103" s="1158"/>
      <c r="H103" s="1159"/>
      <c r="I103" s="1160"/>
      <c r="J103" s="1161"/>
      <c r="K103" s="1160"/>
      <c r="M103" s="839"/>
      <c r="O103" s="839"/>
      <c r="P103" s="559"/>
      <c r="Q103" s="839"/>
      <c r="R103" s="71"/>
      <c r="S103" s="368"/>
      <c r="T103" s="71"/>
      <c r="U103" s="368"/>
      <c r="V103" s="15"/>
      <c r="W103" s="368"/>
      <c r="X103" s="71"/>
      <c r="Y103" s="368"/>
      <c r="Z103" s="15"/>
      <c r="AA103" s="368"/>
      <c r="AB103" s="12"/>
      <c r="AC103" s="368"/>
      <c r="AD103" s="560"/>
      <c r="AE103" s="841"/>
      <c r="AG103" s="839"/>
      <c r="AH103" s="560"/>
      <c r="AI103" s="839"/>
      <c r="AJ103" s="562"/>
      <c r="AK103" s="562"/>
      <c r="AL103" s="560"/>
      <c r="AM103" s="839"/>
      <c r="AN103" s="981">
        <f>SUM(B103,D103,F103,H103,J103,L103,N103,P103,R103,T103,V103,X103,Z103,AB103,AD103,AF103,AH103,AL103,AJ103)</f>
        <v>0</v>
      </c>
      <c r="AO103" s="812">
        <f>SUM(C103,E103,G103,I103,K103,M103,O103,Q103,S103,U103,W103,Y103,AA103,AC103,AE103,AG103,AI103,AM103,AK103)</f>
        <v>0</v>
      </c>
    </row>
    <row r="104" spans="1:41" s="565" customFormat="1" ht="27" customHeight="1" thickBot="1">
      <c r="A104" s="1162" t="s">
        <v>53</v>
      </c>
      <c r="B104" s="564">
        <f aca="true" t="shared" si="6" ref="B104:AO104">SUM(B5:B103)</f>
        <v>95</v>
      </c>
      <c r="C104" s="563">
        <f t="shared" si="6"/>
        <v>24064.3</v>
      </c>
      <c r="D104" s="564">
        <f t="shared" si="6"/>
        <v>62</v>
      </c>
      <c r="E104" s="563">
        <f t="shared" si="6"/>
        <v>6516.400000000001</v>
      </c>
      <c r="F104" s="564">
        <f t="shared" si="6"/>
        <v>49</v>
      </c>
      <c r="G104" s="563">
        <f t="shared" si="6"/>
        <v>6664.299999999999</v>
      </c>
      <c r="H104" s="564">
        <f t="shared" si="6"/>
        <v>135</v>
      </c>
      <c r="I104" s="563">
        <f t="shared" si="6"/>
        <v>109723.29999999999</v>
      </c>
      <c r="J104" s="564">
        <f t="shared" si="6"/>
        <v>11</v>
      </c>
      <c r="K104" s="563">
        <f t="shared" si="6"/>
        <v>1409</v>
      </c>
      <c r="L104" s="564">
        <f t="shared" si="6"/>
        <v>32</v>
      </c>
      <c r="M104" s="563">
        <f t="shared" si="6"/>
        <v>3531.7999999999997</v>
      </c>
      <c r="N104" s="564">
        <f t="shared" si="6"/>
        <v>35</v>
      </c>
      <c r="O104" s="563">
        <f t="shared" si="6"/>
        <v>8800.400000000001</v>
      </c>
      <c r="P104" s="564">
        <f t="shared" si="6"/>
        <v>1</v>
      </c>
      <c r="Q104" s="563">
        <f t="shared" si="6"/>
        <v>1032.5</v>
      </c>
      <c r="R104" s="564">
        <f t="shared" si="6"/>
        <v>2</v>
      </c>
      <c r="S104" s="563">
        <f t="shared" si="6"/>
        <v>1646.4</v>
      </c>
      <c r="T104" s="564">
        <f t="shared" si="6"/>
        <v>150</v>
      </c>
      <c r="U104" s="563">
        <f t="shared" si="6"/>
        <v>5486.8</v>
      </c>
      <c r="V104" s="564">
        <f t="shared" si="6"/>
        <v>73</v>
      </c>
      <c r="W104" s="563">
        <f t="shared" si="6"/>
        <v>26278.5</v>
      </c>
      <c r="X104" s="564">
        <f t="shared" si="6"/>
        <v>254</v>
      </c>
      <c r="Y104" s="563">
        <f t="shared" si="6"/>
        <v>36695.59999999999</v>
      </c>
      <c r="Z104" s="564">
        <f t="shared" si="6"/>
        <v>339</v>
      </c>
      <c r="AA104" s="563">
        <f t="shared" si="6"/>
        <v>49195.19999999999</v>
      </c>
      <c r="AB104" s="564">
        <f t="shared" si="6"/>
        <v>18</v>
      </c>
      <c r="AC104" s="563">
        <f t="shared" si="6"/>
        <v>14546.9</v>
      </c>
      <c r="AD104" s="564">
        <f t="shared" si="6"/>
        <v>158</v>
      </c>
      <c r="AE104" s="563">
        <f t="shared" si="6"/>
        <v>23628.200000000004</v>
      </c>
      <c r="AF104" s="564">
        <f t="shared" si="6"/>
        <v>61</v>
      </c>
      <c r="AG104" s="563">
        <f t="shared" si="6"/>
        <v>8701.9</v>
      </c>
      <c r="AH104" s="564">
        <f t="shared" si="6"/>
        <v>48</v>
      </c>
      <c r="AI104" s="563">
        <f t="shared" si="6"/>
        <v>8231.400000000001</v>
      </c>
      <c r="AJ104" s="564">
        <f t="shared" si="6"/>
        <v>3</v>
      </c>
      <c r="AK104" s="563">
        <f t="shared" si="6"/>
        <v>1845</v>
      </c>
      <c r="AL104" s="564">
        <f t="shared" si="6"/>
        <v>0</v>
      </c>
      <c r="AM104" s="563">
        <f t="shared" si="6"/>
        <v>0</v>
      </c>
      <c r="AN104" s="564">
        <f t="shared" si="6"/>
        <v>1526</v>
      </c>
      <c r="AO104" s="740">
        <f t="shared" si="6"/>
        <v>337997.90000000014</v>
      </c>
    </row>
    <row r="105" spans="1:41" s="121" customFormat="1" ht="20.25" customHeight="1">
      <c r="A105" s="8" t="s">
        <v>203</v>
      </c>
      <c r="B105" s="1171"/>
      <c r="C105" s="822"/>
      <c r="D105" s="1172"/>
      <c r="E105" s="822"/>
      <c r="F105" s="60"/>
      <c r="G105" s="830"/>
      <c r="H105" s="59"/>
      <c r="I105" s="822"/>
      <c r="J105" s="59"/>
      <c r="K105" s="822"/>
      <c r="L105" s="32"/>
      <c r="M105" s="316"/>
      <c r="N105" s="61"/>
      <c r="O105" s="597"/>
      <c r="P105" s="61"/>
      <c r="Q105" s="597"/>
      <c r="R105" s="61"/>
      <c r="S105" s="597"/>
      <c r="U105" s="598"/>
      <c r="W105" s="598"/>
      <c r="Y105" s="598"/>
      <c r="AA105" s="598"/>
      <c r="AC105" s="598"/>
      <c r="AE105" s="598"/>
      <c r="AG105" s="598"/>
      <c r="AI105" s="598"/>
      <c r="AM105" s="598"/>
      <c r="AO105" s="1135">
        <f>AO104-337997.9</f>
        <v>0</v>
      </c>
    </row>
    <row r="106" spans="1:41" ht="24.75" customHeight="1">
      <c r="A106" s="156"/>
      <c r="B106" s="156"/>
      <c r="C106" s="1173"/>
      <c r="D106" s="156"/>
      <c r="E106" s="1173"/>
      <c r="F106" s="156"/>
      <c r="G106" s="1173"/>
      <c r="H106" s="156"/>
      <c r="I106" s="1174"/>
      <c r="J106" s="156"/>
      <c r="K106" s="1174"/>
      <c r="M106" s="820"/>
      <c r="O106" s="820"/>
      <c r="Q106" s="820"/>
      <c r="S106" s="820"/>
      <c r="U106" s="820"/>
      <c r="W106" s="820"/>
      <c r="Y106" s="820"/>
      <c r="AA106" s="820"/>
      <c r="AC106" s="820"/>
      <c r="AE106" s="820"/>
      <c r="AG106" s="820"/>
      <c r="AI106" s="820"/>
      <c r="AJ106" s="262"/>
      <c r="AK106" s="262"/>
      <c r="AM106" s="820"/>
      <c r="AO106" s="360"/>
    </row>
    <row r="107" spans="3:41" ht="24" customHeight="1">
      <c r="C107" s="262"/>
      <c r="E107" s="262"/>
      <c r="G107" s="262"/>
      <c r="I107" s="820"/>
      <c r="K107" s="820"/>
      <c r="M107" s="820"/>
      <c r="O107" s="820"/>
      <c r="Q107" s="820"/>
      <c r="S107" s="820"/>
      <c r="U107" s="820"/>
      <c r="W107" s="820"/>
      <c r="Y107" s="820"/>
      <c r="AA107" s="820"/>
      <c r="AC107" s="820"/>
      <c r="AE107" s="820"/>
      <c r="AG107" s="820"/>
      <c r="AI107" s="820"/>
      <c r="AJ107" s="262"/>
      <c r="AK107" s="262"/>
      <c r="AM107" s="820"/>
      <c r="AO107" s="360"/>
    </row>
    <row r="108" spans="3:41" ht="23.25" customHeight="1">
      <c r="C108" s="345"/>
      <c r="E108" s="262"/>
      <c r="G108" s="262"/>
      <c r="I108" s="368"/>
      <c r="K108" s="820"/>
      <c r="M108" s="820"/>
      <c r="O108" s="820"/>
      <c r="Q108" s="820"/>
      <c r="S108" s="820"/>
      <c r="U108" s="820"/>
      <c r="W108" s="820"/>
      <c r="Y108" s="820"/>
      <c r="AA108" s="820"/>
      <c r="AC108" s="820"/>
      <c r="AE108" s="820"/>
      <c r="AG108" s="820"/>
      <c r="AI108" s="820"/>
      <c r="AJ108" s="262"/>
      <c r="AK108" s="262"/>
      <c r="AM108" s="820"/>
      <c r="AO108" s="360"/>
    </row>
    <row r="109" spans="1:41" ht="21.75" customHeight="1">
      <c r="A109" t="s">
        <v>103</v>
      </c>
      <c r="C109" s="262"/>
      <c r="E109" s="262"/>
      <c r="G109" s="262"/>
      <c r="I109" s="820"/>
      <c r="K109" s="820"/>
      <c r="M109" s="820"/>
      <c r="O109" s="820"/>
      <c r="Q109" s="820"/>
      <c r="S109" s="820"/>
      <c r="U109" s="820"/>
      <c r="W109" s="820"/>
      <c r="Y109" s="820"/>
      <c r="AA109" s="820"/>
      <c r="AC109" s="820"/>
      <c r="AE109" s="820"/>
      <c r="AG109" s="820"/>
      <c r="AI109" s="820"/>
      <c r="AJ109" s="262"/>
      <c r="AK109" s="262"/>
      <c r="AM109" s="820"/>
      <c r="AO109" s="360"/>
    </row>
    <row r="110" spans="3:41" ht="21.75" customHeight="1">
      <c r="C110" s="262"/>
      <c r="E110" s="262"/>
      <c r="G110" s="262"/>
      <c r="I110" s="820"/>
      <c r="K110" s="820"/>
      <c r="M110" s="820"/>
      <c r="O110" s="820"/>
      <c r="Q110" s="820"/>
      <c r="S110" s="820"/>
      <c r="U110" s="820"/>
      <c r="W110" s="820"/>
      <c r="Y110" s="820"/>
      <c r="AA110" s="820"/>
      <c r="AC110" s="820"/>
      <c r="AE110" s="820"/>
      <c r="AG110" s="820"/>
      <c r="AI110" s="820"/>
      <c r="AJ110" s="262"/>
      <c r="AK110" s="262"/>
      <c r="AM110" s="820"/>
      <c r="AO110" s="360"/>
    </row>
    <row r="111" spans="3:41" ht="26.25" customHeight="1">
      <c r="C111" s="262"/>
      <c r="E111" s="262"/>
      <c r="G111" s="262"/>
      <c r="I111" s="820"/>
      <c r="K111" s="820"/>
      <c r="M111" s="820"/>
      <c r="O111" s="820"/>
      <c r="Q111" s="820"/>
      <c r="S111" s="820"/>
      <c r="U111" s="820"/>
      <c r="W111" s="820"/>
      <c r="Y111" s="820"/>
      <c r="AA111" s="820"/>
      <c r="AC111" s="820"/>
      <c r="AE111" s="820"/>
      <c r="AG111" s="820"/>
      <c r="AI111" s="820"/>
      <c r="AJ111" s="262"/>
      <c r="AK111" s="262"/>
      <c r="AM111" s="820"/>
      <c r="AO111" s="360"/>
    </row>
    <row r="112" spans="3:41" ht="23.25" customHeight="1">
      <c r="C112" s="262"/>
      <c r="E112" s="262"/>
      <c r="G112" s="262"/>
      <c r="I112" s="820"/>
      <c r="K112" s="820"/>
      <c r="M112" s="820"/>
      <c r="O112" s="820"/>
      <c r="Q112" s="820"/>
      <c r="S112" s="820"/>
      <c r="U112" s="820"/>
      <c r="W112" s="820"/>
      <c r="Y112" s="820"/>
      <c r="AA112" s="820"/>
      <c r="AC112" s="820"/>
      <c r="AE112" s="820"/>
      <c r="AG112" s="820"/>
      <c r="AI112" s="820"/>
      <c r="AJ112" s="262"/>
      <c r="AK112" s="262"/>
      <c r="AM112" s="820"/>
      <c r="AO112" s="360"/>
    </row>
    <row r="113" spans="3:41" ht="23.25" customHeight="1">
      <c r="C113" s="262"/>
      <c r="E113" s="262"/>
      <c r="G113" s="262"/>
      <c r="I113" s="820"/>
      <c r="K113" s="820"/>
      <c r="M113" s="820"/>
      <c r="O113" s="820"/>
      <c r="Q113" s="820"/>
      <c r="S113" s="820"/>
      <c r="U113" s="820"/>
      <c r="W113" s="820"/>
      <c r="Y113" s="820"/>
      <c r="AA113" s="820"/>
      <c r="AC113" s="820"/>
      <c r="AE113" s="820"/>
      <c r="AG113" s="820"/>
      <c r="AI113" s="820"/>
      <c r="AJ113" s="262"/>
      <c r="AK113" s="262"/>
      <c r="AM113" s="820"/>
      <c r="AO113" s="360"/>
    </row>
    <row r="114" spans="3:41" ht="23.25" customHeight="1">
      <c r="C114" s="262"/>
      <c r="E114" s="262"/>
      <c r="G114" s="262"/>
      <c r="I114" s="820"/>
      <c r="K114" s="820"/>
      <c r="M114" s="820"/>
      <c r="O114" s="820"/>
      <c r="Q114" s="820"/>
      <c r="S114" s="820"/>
      <c r="U114" s="820"/>
      <c r="W114" s="820"/>
      <c r="Y114" s="820"/>
      <c r="AA114" s="820"/>
      <c r="AC114" s="820"/>
      <c r="AE114" s="820"/>
      <c r="AG114" s="820"/>
      <c r="AI114" s="820"/>
      <c r="AJ114" s="262"/>
      <c r="AK114" s="262"/>
      <c r="AM114" s="820"/>
      <c r="AO114" s="360"/>
    </row>
    <row r="115" spans="3:41" ht="22.5" customHeight="1">
      <c r="C115" s="262"/>
      <c r="E115" s="262"/>
      <c r="G115" s="262"/>
      <c r="I115" s="820"/>
      <c r="K115" s="820"/>
      <c r="M115" s="820"/>
      <c r="O115" s="820"/>
      <c r="Q115" s="820"/>
      <c r="S115" s="820"/>
      <c r="U115" s="820"/>
      <c r="W115" s="820"/>
      <c r="Y115" s="820"/>
      <c r="AA115" s="820"/>
      <c r="AC115" s="820"/>
      <c r="AE115" s="820"/>
      <c r="AG115" s="820"/>
      <c r="AI115" s="820"/>
      <c r="AJ115" s="262"/>
      <c r="AK115" s="262"/>
      <c r="AM115" s="820"/>
      <c r="AO115" s="360"/>
    </row>
    <row r="116" spans="3:41" ht="24.75" customHeight="1">
      <c r="C116" s="262"/>
      <c r="E116" s="262"/>
      <c r="G116" s="262"/>
      <c r="I116" s="820"/>
      <c r="K116" s="820"/>
      <c r="M116" s="820"/>
      <c r="O116" s="820"/>
      <c r="Q116" s="820"/>
      <c r="S116" s="820"/>
      <c r="U116" s="820"/>
      <c r="W116" s="820"/>
      <c r="Y116" s="820"/>
      <c r="AA116" s="820"/>
      <c r="AC116" s="820"/>
      <c r="AE116" s="820"/>
      <c r="AG116" s="820"/>
      <c r="AI116" s="820"/>
      <c r="AJ116" s="262"/>
      <c r="AK116" s="262"/>
      <c r="AM116" s="820"/>
      <c r="AO116" s="360"/>
    </row>
    <row r="117" spans="3:41" ht="23.25" customHeight="1">
      <c r="C117" s="262"/>
      <c r="E117" s="262"/>
      <c r="G117" s="262"/>
      <c r="I117" s="820"/>
      <c r="K117" s="820"/>
      <c r="M117" s="820"/>
      <c r="O117" s="820"/>
      <c r="Q117" s="820"/>
      <c r="S117" s="820"/>
      <c r="U117" s="820"/>
      <c r="W117" s="820"/>
      <c r="Y117" s="820"/>
      <c r="AA117" s="820"/>
      <c r="AC117" s="820"/>
      <c r="AE117" s="820"/>
      <c r="AG117" s="820"/>
      <c r="AI117" s="820"/>
      <c r="AJ117" s="262"/>
      <c r="AK117" s="262"/>
      <c r="AM117" s="820"/>
      <c r="AO117" s="360"/>
    </row>
    <row r="118" spans="3:41" ht="23.25" customHeight="1">
      <c r="C118" s="262"/>
      <c r="E118" s="262"/>
      <c r="G118" s="262"/>
      <c r="I118" s="820"/>
      <c r="K118" s="820"/>
      <c r="M118" s="820"/>
      <c r="O118" s="820"/>
      <c r="Q118" s="820"/>
      <c r="S118" s="820"/>
      <c r="U118" s="820"/>
      <c r="W118" s="820"/>
      <c r="Y118" s="820"/>
      <c r="AA118" s="820"/>
      <c r="AC118" s="820"/>
      <c r="AE118" s="820"/>
      <c r="AG118" s="820"/>
      <c r="AI118" s="820"/>
      <c r="AJ118" s="262"/>
      <c r="AK118" s="262"/>
      <c r="AM118" s="820"/>
      <c r="AO118" s="360"/>
    </row>
    <row r="119" spans="3:41" ht="23.25" customHeight="1">
      <c r="C119" s="262"/>
      <c r="E119" s="262"/>
      <c r="G119" s="262"/>
      <c r="I119" s="820"/>
      <c r="K119" s="820"/>
      <c r="M119" s="820"/>
      <c r="O119" s="820"/>
      <c r="Q119" s="820"/>
      <c r="S119" s="820"/>
      <c r="U119" s="820"/>
      <c r="W119" s="820"/>
      <c r="Y119" s="820"/>
      <c r="AA119" s="820"/>
      <c r="AC119" s="820"/>
      <c r="AE119" s="820"/>
      <c r="AG119" s="820"/>
      <c r="AI119" s="820"/>
      <c r="AJ119" s="262"/>
      <c r="AK119" s="262"/>
      <c r="AM119" s="820"/>
      <c r="AO119" s="360"/>
    </row>
    <row r="120" spans="3:41" ht="23.25" customHeight="1">
      <c r="C120" s="262"/>
      <c r="E120" s="262"/>
      <c r="G120" s="262"/>
      <c r="I120" s="820"/>
      <c r="K120" s="820"/>
      <c r="M120" s="820"/>
      <c r="O120" s="820"/>
      <c r="Q120" s="820"/>
      <c r="S120" s="820"/>
      <c r="U120" s="820"/>
      <c r="W120" s="820"/>
      <c r="Y120" s="820"/>
      <c r="AA120" s="820"/>
      <c r="AC120" s="820"/>
      <c r="AE120" s="820"/>
      <c r="AG120" s="820"/>
      <c r="AI120" s="820"/>
      <c r="AJ120" s="262"/>
      <c r="AK120" s="262"/>
      <c r="AM120" s="820"/>
      <c r="AO120" s="360"/>
    </row>
    <row r="121" spans="3:41" ht="24.75" customHeight="1">
      <c r="C121" s="262"/>
      <c r="E121" s="262"/>
      <c r="G121" s="262"/>
      <c r="I121" s="820"/>
      <c r="K121" s="820"/>
      <c r="M121" s="820"/>
      <c r="O121" s="820"/>
      <c r="Q121" s="820"/>
      <c r="S121" s="820"/>
      <c r="U121" s="820"/>
      <c r="W121" s="820"/>
      <c r="Y121" s="820"/>
      <c r="AA121" s="820"/>
      <c r="AC121" s="820"/>
      <c r="AE121" s="820"/>
      <c r="AG121" s="820"/>
      <c r="AI121" s="820"/>
      <c r="AJ121" s="262"/>
      <c r="AK121" s="262"/>
      <c r="AM121" s="820"/>
      <c r="AO121" s="360"/>
    </row>
    <row r="122" spans="3:41" ht="24.75" customHeight="1">
      <c r="C122" s="262"/>
      <c r="E122" s="262"/>
      <c r="G122" s="262"/>
      <c r="I122" s="820"/>
      <c r="K122" s="820"/>
      <c r="M122" s="820"/>
      <c r="O122" s="820"/>
      <c r="Q122" s="820"/>
      <c r="S122" s="820"/>
      <c r="U122" s="820"/>
      <c r="W122" s="820"/>
      <c r="Y122" s="820"/>
      <c r="AA122" s="820"/>
      <c r="AC122" s="820"/>
      <c r="AE122" s="820"/>
      <c r="AG122" s="820"/>
      <c r="AI122" s="820"/>
      <c r="AJ122" s="262"/>
      <c r="AK122" s="262"/>
      <c r="AM122" s="820"/>
      <c r="AO122" s="360"/>
    </row>
    <row r="123" spans="3:41" ht="23.25" customHeight="1">
      <c r="C123" s="262"/>
      <c r="E123" s="262"/>
      <c r="G123" s="262"/>
      <c r="I123" s="820"/>
      <c r="K123" s="820"/>
      <c r="M123" s="820"/>
      <c r="O123" s="820"/>
      <c r="Q123" s="820"/>
      <c r="S123" s="820"/>
      <c r="U123" s="820"/>
      <c r="W123" s="820"/>
      <c r="Y123" s="820"/>
      <c r="AA123" s="820"/>
      <c r="AC123" s="820"/>
      <c r="AE123" s="820"/>
      <c r="AG123" s="820"/>
      <c r="AI123" s="820"/>
      <c r="AJ123" s="262"/>
      <c r="AK123" s="262"/>
      <c r="AM123" s="820"/>
      <c r="AO123" s="360"/>
    </row>
    <row r="124" spans="3:41" ht="23.25" customHeight="1">
      <c r="C124" s="262"/>
      <c r="E124" s="262"/>
      <c r="G124" s="262"/>
      <c r="I124" s="820"/>
      <c r="K124" s="820"/>
      <c r="M124" s="820"/>
      <c r="O124" s="820"/>
      <c r="Q124" s="820"/>
      <c r="S124" s="820"/>
      <c r="U124" s="820"/>
      <c r="W124" s="820"/>
      <c r="Y124" s="820"/>
      <c r="AA124" s="820"/>
      <c r="AC124" s="820"/>
      <c r="AE124" s="820"/>
      <c r="AG124" s="820"/>
      <c r="AI124" s="820"/>
      <c r="AJ124" s="262"/>
      <c r="AK124" s="262"/>
      <c r="AM124" s="820"/>
      <c r="AO124" s="360"/>
    </row>
    <row r="125" spans="3:41" ht="26.25" customHeight="1">
      <c r="C125" s="262"/>
      <c r="E125" s="262"/>
      <c r="G125" s="262"/>
      <c r="I125" s="820"/>
      <c r="K125" s="820"/>
      <c r="M125" s="820"/>
      <c r="O125" s="820"/>
      <c r="Q125" s="820"/>
      <c r="S125" s="820"/>
      <c r="U125" s="820"/>
      <c r="W125" s="820"/>
      <c r="Y125" s="820"/>
      <c r="AA125" s="820"/>
      <c r="AC125" s="820"/>
      <c r="AE125" s="820"/>
      <c r="AG125" s="820"/>
      <c r="AI125" s="820"/>
      <c r="AJ125" s="262"/>
      <c r="AK125" s="262"/>
      <c r="AM125" s="820"/>
      <c r="AO125" s="360"/>
    </row>
    <row r="126" spans="3:41" ht="23.25" customHeight="1">
      <c r="C126" s="262"/>
      <c r="E126" s="262"/>
      <c r="G126" s="262"/>
      <c r="I126" s="820"/>
      <c r="K126" s="820"/>
      <c r="M126" s="820"/>
      <c r="O126" s="820"/>
      <c r="Q126" s="820"/>
      <c r="S126" s="820"/>
      <c r="U126" s="820"/>
      <c r="W126" s="820"/>
      <c r="Y126" s="820"/>
      <c r="AA126" s="820"/>
      <c r="AC126" s="820"/>
      <c r="AE126" s="820"/>
      <c r="AG126" s="820"/>
      <c r="AI126" s="820"/>
      <c r="AJ126" s="262"/>
      <c r="AK126" s="262"/>
      <c r="AM126" s="820"/>
      <c r="AO126" s="360"/>
    </row>
    <row r="127" spans="3:41" ht="12.75">
      <c r="C127" s="262"/>
      <c r="E127" s="262"/>
      <c r="G127" s="262"/>
      <c r="I127" s="820"/>
      <c r="K127" s="820"/>
      <c r="M127" s="820"/>
      <c r="O127" s="820"/>
      <c r="Q127" s="820"/>
      <c r="S127" s="820"/>
      <c r="U127" s="820"/>
      <c r="W127" s="820"/>
      <c r="Y127" s="820"/>
      <c r="AA127" s="820"/>
      <c r="AC127" s="820"/>
      <c r="AE127" s="820"/>
      <c r="AG127" s="820"/>
      <c r="AI127" s="820"/>
      <c r="AJ127" s="262"/>
      <c r="AK127" s="262"/>
      <c r="AM127" s="820"/>
      <c r="AO127" s="360"/>
    </row>
    <row r="128" spans="3:41" ht="12.75">
      <c r="C128" s="262"/>
      <c r="E128" s="262"/>
      <c r="G128" s="262"/>
      <c r="I128" s="820"/>
      <c r="K128" s="820"/>
      <c r="M128" s="820"/>
      <c r="O128" s="820"/>
      <c r="Q128" s="820"/>
      <c r="S128" s="820"/>
      <c r="U128" s="820"/>
      <c r="W128" s="820"/>
      <c r="Y128" s="820"/>
      <c r="AA128" s="820"/>
      <c r="AC128" s="820"/>
      <c r="AE128" s="820"/>
      <c r="AG128" s="820"/>
      <c r="AI128" s="820"/>
      <c r="AJ128" s="262"/>
      <c r="AK128" s="262"/>
      <c r="AM128" s="820"/>
      <c r="AO128" s="360"/>
    </row>
    <row r="129" spans="3:41" ht="69" customHeight="1">
      <c r="C129" s="262"/>
      <c r="E129" s="262"/>
      <c r="G129" s="262"/>
      <c r="I129" s="820"/>
      <c r="K129" s="820"/>
      <c r="M129" s="820"/>
      <c r="O129" s="820"/>
      <c r="Q129" s="820"/>
      <c r="S129" s="820"/>
      <c r="U129" s="820"/>
      <c r="W129" s="820"/>
      <c r="Y129" s="820"/>
      <c r="AA129" s="820"/>
      <c r="AC129" s="820"/>
      <c r="AE129" s="820"/>
      <c r="AG129" s="820"/>
      <c r="AI129" s="820"/>
      <c r="AJ129" s="262"/>
      <c r="AK129" s="262"/>
      <c r="AM129" s="820"/>
      <c r="AO129" s="360"/>
    </row>
    <row r="130" spans="3:41" ht="21.75" customHeight="1">
      <c r="C130" s="262"/>
      <c r="E130" s="262"/>
      <c r="G130" s="262"/>
      <c r="I130" s="820"/>
      <c r="K130" s="820"/>
      <c r="M130" s="820"/>
      <c r="O130" s="820"/>
      <c r="Q130" s="820"/>
      <c r="S130" s="820"/>
      <c r="U130" s="820"/>
      <c r="W130" s="820"/>
      <c r="Y130" s="820"/>
      <c r="AA130" s="820"/>
      <c r="AC130" s="820"/>
      <c r="AE130" s="820"/>
      <c r="AG130" s="820"/>
      <c r="AI130" s="820"/>
      <c r="AJ130" s="262"/>
      <c r="AK130" s="262"/>
      <c r="AM130" s="820"/>
      <c r="AO130" s="360"/>
    </row>
    <row r="131" spans="3:41" ht="26.25" customHeight="1">
      <c r="C131" s="262"/>
      <c r="E131" s="262"/>
      <c r="G131" s="262"/>
      <c r="I131" s="820"/>
      <c r="K131" s="820"/>
      <c r="M131" s="820"/>
      <c r="O131" s="820"/>
      <c r="Q131" s="820"/>
      <c r="S131" s="820"/>
      <c r="U131" s="820"/>
      <c r="W131" s="820"/>
      <c r="Y131" s="820"/>
      <c r="AA131" s="820"/>
      <c r="AC131" s="820"/>
      <c r="AE131" s="820"/>
      <c r="AG131" s="820"/>
      <c r="AI131" s="820"/>
      <c r="AJ131" s="262"/>
      <c r="AK131" s="262"/>
      <c r="AM131" s="820"/>
      <c r="AO131" s="360"/>
    </row>
    <row r="132" spans="3:41" ht="20.25" customHeight="1">
      <c r="C132" s="262"/>
      <c r="E132" s="262"/>
      <c r="G132" s="262"/>
      <c r="I132" s="820"/>
      <c r="K132" s="820"/>
      <c r="M132" s="820"/>
      <c r="O132" s="820"/>
      <c r="Q132" s="820"/>
      <c r="S132" s="820"/>
      <c r="U132" s="820"/>
      <c r="W132" s="820"/>
      <c r="Y132" s="820"/>
      <c r="AA132" s="820"/>
      <c r="AC132" s="820"/>
      <c r="AE132" s="820"/>
      <c r="AG132" s="820"/>
      <c r="AI132" s="820"/>
      <c r="AJ132" s="262"/>
      <c r="AK132" s="262"/>
      <c r="AM132" s="820"/>
      <c r="AO132" s="360"/>
    </row>
    <row r="133" spans="3:41" ht="20.25" customHeight="1">
      <c r="C133" s="262"/>
      <c r="E133" s="262"/>
      <c r="G133" s="262"/>
      <c r="I133" s="820"/>
      <c r="K133" s="820"/>
      <c r="M133" s="820"/>
      <c r="O133" s="820"/>
      <c r="Q133" s="820"/>
      <c r="S133" s="820"/>
      <c r="U133" s="820"/>
      <c r="W133" s="820"/>
      <c r="Y133" s="820"/>
      <c r="AA133" s="820"/>
      <c r="AC133" s="820"/>
      <c r="AE133" s="820"/>
      <c r="AG133" s="820"/>
      <c r="AI133" s="820"/>
      <c r="AJ133" s="262"/>
      <c r="AK133" s="262"/>
      <c r="AM133" s="820"/>
      <c r="AO133" s="360"/>
    </row>
    <row r="134" spans="3:41" ht="20.25" customHeight="1">
      <c r="C134" s="262"/>
      <c r="E134" s="262"/>
      <c r="G134" s="262"/>
      <c r="I134" s="820"/>
      <c r="K134" s="820"/>
      <c r="M134" s="820"/>
      <c r="O134" s="820"/>
      <c r="Q134" s="820"/>
      <c r="S134" s="820"/>
      <c r="U134" s="820"/>
      <c r="W134" s="820"/>
      <c r="Y134" s="820"/>
      <c r="AA134" s="820"/>
      <c r="AC134" s="820"/>
      <c r="AE134" s="820"/>
      <c r="AG134" s="820"/>
      <c r="AI134" s="820"/>
      <c r="AJ134" s="262"/>
      <c r="AK134" s="262"/>
      <c r="AM134" s="820"/>
      <c r="AO134" s="360"/>
    </row>
    <row r="135" spans="3:41" ht="20.25" customHeight="1">
      <c r="C135" s="262"/>
      <c r="E135" s="262"/>
      <c r="G135" s="262"/>
      <c r="I135" s="820"/>
      <c r="K135" s="820"/>
      <c r="M135" s="820"/>
      <c r="O135" s="820"/>
      <c r="Q135" s="820"/>
      <c r="S135" s="820"/>
      <c r="U135" s="820"/>
      <c r="W135" s="820"/>
      <c r="Y135" s="820"/>
      <c r="AA135" s="820"/>
      <c r="AC135" s="820"/>
      <c r="AE135" s="820"/>
      <c r="AG135" s="820"/>
      <c r="AI135" s="820"/>
      <c r="AJ135" s="262"/>
      <c r="AK135" s="262"/>
      <c r="AM135" s="820"/>
      <c r="AO135" s="360"/>
    </row>
    <row r="136" spans="3:41" ht="20.25" customHeight="1">
      <c r="C136" s="262"/>
      <c r="E136" s="262"/>
      <c r="G136" s="262"/>
      <c r="I136" s="820"/>
      <c r="K136" s="820"/>
      <c r="M136" s="820"/>
      <c r="O136" s="820"/>
      <c r="Q136" s="820"/>
      <c r="S136" s="820"/>
      <c r="U136" s="820"/>
      <c r="W136" s="820"/>
      <c r="Y136" s="820"/>
      <c r="AA136" s="820"/>
      <c r="AC136" s="820"/>
      <c r="AE136" s="820"/>
      <c r="AG136" s="820"/>
      <c r="AI136" s="820"/>
      <c r="AJ136" s="262"/>
      <c r="AK136" s="262"/>
      <c r="AM136" s="820"/>
      <c r="AO136" s="360"/>
    </row>
    <row r="137" spans="3:41" ht="20.25" customHeight="1">
      <c r="C137" s="262"/>
      <c r="E137" s="262"/>
      <c r="G137" s="262"/>
      <c r="I137" s="820"/>
      <c r="K137" s="820"/>
      <c r="M137" s="820"/>
      <c r="O137" s="820"/>
      <c r="Q137" s="820"/>
      <c r="S137" s="820"/>
      <c r="U137" s="820"/>
      <c r="W137" s="820"/>
      <c r="Y137" s="820"/>
      <c r="AA137" s="820"/>
      <c r="AC137" s="820"/>
      <c r="AE137" s="820"/>
      <c r="AG137" s="820"/>
      <c r="AI137" s="820"/>
      <c r="AJ137" s="262"/>
      <c r="AK137" s="262"/>
      <c r="AM137" s="820"/>
      <c r="AO137" s="360"/>
    </row>
    <row r="138" spans="3:41" ht="21.75" customHeight="1">
      <c r="C138" s="262"/>
      <c r="E138" s="262"/>
      <c r="G138" s="262"/>
      <c r="I138" s="820"/>
      <c r="K138" s="820"/>
      <c r="M138" s="820"/>
      <c r="O138" s="820"/>
      <c r="Q138" s="820"/>
      <c r="S138" s="820"/>
      <c r="U138" s="820"/>
      <c r="W138" s="820"/>
      <c r="Y138" s="820"/>
      <c r="AA138" s="820"/>
      <c r="AC138" s="820"/>
      <c r="AE138" s="820"/>
      <c r="AG138" s="820"/>
      <c r="AI138" s="820"/>
      <c r="AJ138" s="262"/>
      <c r="AK138" s="262"/>
      <c r="AM138" s="820"/>
      <c r="AO138" s="360"/>
    </row>
    <row r="139" spans="3:41" ht="24" customHeight="1">
      <c r="C139" s="262"/>
      <c r="E139" s="262"/>
      <c r="G139" s="262"/>
      <c r="I139" s="820"/>
      <c r="K139" s="820"/>
      <c r="M139" s="820"/>
      <c r="O139" s="820"/>
      <c r="Q139" s="820"/>
      <c r="S139" s="820"/>
      <c r="U139" s="820"/>
      <c r="W139" s="820"/>
      <c r="Y139" s="820"/>
      <c r="AA139" s="820"/>
      <c r="AC139" s="820"/>
      <c r="AE139" s="820"/>
      <c r="AG139" s="820"/>
      <c r="AI139" s="820"/>
      <c r="AJ139" s="262"/>
      <c r="AK139" s="262"/>
      <c r="AM139" s="820"/>
      <c r="AO139" s="360"/>
    </row>
    <row r="140" spans="3:41" ht="12.75">
      <c r="C140" s="262"/>
      <c r="E140" s="262"/>
      <c r="G140" s="262"/>
      <c r="I140" s="820"/>
      <c r="K140" s="820"/>
      <c r="M140" s="820"/>
      <c r="O140" s="820"/>
      <c r="Q140" s="820"/>
      <c r="S140" s="820"/>
      <c r="U140" s="820"/>
      <c r="W140" s="820"/>
      <c r="Y140" s="820"/>
      <c r="AA140" s="820"/>
      <c r="AC140" s="820"/>
      <c r="AE140" s="820"/>
      <c r="AG140" s="820"/>
      <c r="AI140" s="820"/>
      <c r="AJ140" s="262"/>
      <c r="AK140" s="262"/>
      <c r="AM140" s="820"/>
      <c r="AO140" s="360"/>
    </row>
    <row r="141" spans="3:41" ht="27" customHeight="1">
      <c r="C141" s="262"/>
      <c r="E141" s="262"/>
      <c r="G141" s="262"/>
      <c r="I141" s="820"/>
      <c r="K141" s="820"/>
      <c r="M141" s="820"/>
      <c r="O141" s="820"/>
      <c r="Q141" s="820"/>
      <c r="S141" s="820"/>
      <c r="U141" s="820"/>
      <c r="W141" s="820"/>
      <c r="Y141" s="820"/>
      <c r="AA141" s="820"/>
      <c r="AC141" s="820"/>
      <c r="AE141" s="820"/>
      <c r="AG141" s="820"/>
      <c r="AI141" s="820"/>
      <c r="AJ141" s="262"/>
      <c r="AK141" s="262"/>
      <c r="AM141" s="820"/>
      <c r="AO141" s="360"/>
    </row>
    <row r="142" spans="3:41" ht="69" customHeight="1">
      <c r="C142" s="262"/>
      <c r="E142" s="262"/>
      <c r="G142" s="262"/>
      <c r="I142" s="820"/>
      <c r="K142" s="820"/>
      <c r="M142" s="820"/>
      <c r="O142" s="820"/>
      <c r="Q142" s="820"/>
      <c r="S142" s="820"/>
      <c r="U142" s="820"/>
      <c r="W142" s="820"/>
      <c r="Y142" s="820"/>
      <c r="AA142" s="820"/>
      <c r="AC142" s="820"/>
      <c r="AE142" s="820"/>
      <c r="AG142" s="820"/>
      <c r="AI142" s="820"/>
      <c r="AJ142" s="262"/>
      <c r="AK142" s="262"/>
      <c r="AM142" s="820"/>
      <c r="AO142" s="360"/>
    </row>
    <row r="143" spans="3:41" ht="21.75" customHeight="1">
      <c r="C143" s="262"/>
      <c r="E143" s="262"/>
      <c r="G143" s="262"/>
      <c r="I143" s="820"/>
      <c r="K143" s="820"/>
      <c r="M143" s="820"/>
      <c r="O143" s="820"/>
      <c r="Q143" s="820"/>
      <c r="S143" s="820"/>
      <c r="U143" s="820"/>
      <c r="W143" s="820"/>
      <c r="Y143" s="820"/>
      <c r="AA143" s="820"/>
      <c r="AC143" s="820"/>
      <c r="AE143" s="820"/>
      <c r="AG143" s="820"/>
      <c r="AI143" s="820"/>
      <c r="AJ143" s="262"/>
      <c r="AK143" s="262"/>
      <c r="AM143" s="820"/>
      <c r="AO143" s="360"/>
    </row>
    <row r="144" spans="3:41" ht="26.25" customHeight="1">
      <c r="C144" s="262"/>
      <c r="E144" s="262"/>
      <c r="G144" s="262"/>
      <c r="I144" s="820"/>
      <c r="K144" s="820"/>
      <c r="M144" s="820"/>
      <c r="O144" s="820"/>
      <c r="Q144" s="820"/>
      <c r="S144" s="820"/>
      <c r="U144" s="820"/>
      <c r="W144" s="820"/>
      <c r="Y144" s="820"/>
      <c r="AA144" s="820"/>
      <c r="AC144" s="820"/>
      <c r="AE144" s="820"/>
      <c r="AG144" s="820"/>
      <c r="AI144" s="820"/>
      <c r="AJ144" s="262"/>
      <c r="AK144" s="262"/>
      <c r="AM144" s="820"/>
      <c r="AO144" s="360"/>
    </row>
    <row r="145" spans="3:41" ht="20.25" customHeight="1">
      <c r="C145" s="262"/>
      <c r="E145" s="262"/>
      <c r="G145" s="262"/>
      <c r="I145" s="820"/>
      <c r="K145" s="820"/>
      <c r="M145" s="820"/>
      <c r="O145" s="820"/>
      <c r="Q145" s="820"/>
      <c r="S145" s="820"/>
      <c r="U145" s="820"/>
      <c r="W145" s="820"/>
      <c r="Y145" s="820"/>
      <c r="AA145" s="820"/>
      <c r="AC145" s="820"/>
      <c r="AE145" s="820"/>
      <c r="AG145" s="820"/>
      <c r="AI145" s="820"/>
      <c r="AJ145" s="262"/>
      <c r="AK145" s="262"/>
      <c r="AM145" s="820"/>
      <c r="AO145" s="360"/>
    </row>
    <row r="146" spans="3:41" ht="20.25" customHeight="1">
      <c r="C146" s="262"/>
      <c r="E146" s="262"/>
      <c r="G146" s="262"/>
      <c r="I146" s="820"/>
      <c r="K146" s="820"/>
      <c r="M146" s="820"/>
      <c r="O146" s="820"/>
      <c r="Q146" s="820"/>
      <c r="S146" s="820"/>
      <c r="U146" s="820"/>
      <c r="W146" s="820"/>
      <c r="Y146" s="820"/>
      <c r="AA146" s="820"/>
      <c r="AC146" s="820"/>
      <c r="AE146" s="820"/>
      <c r="AG146" s="820"/>
      <c r="AI146" s="820"/>
      <c r="AJ146" s="262"/>
      <c r="AK146" s="262"/>
      <c r="AM146" s="820"/>
      <c r="AO146" s="360"/>
    </row>
    <row r="147" spans="3:41" s="120" customFormat="1" ht="20.25" customHeight="1">
      <c r="C147" s="295"/>
      <c r="E147" s="295"/>
      <c r="G147" s="295"/>
      <c r="I147" s="840"/>
      <c r="K147" s="840"/>
      <c r="M147" s="840"/>
      <c r="O147" s="840"/>
      <c r="Q147" s="840"/>
      <c r="S147" s="840"/>
      <c r="U147" s="840"/>
      <c r="W147" s="840"/>
      <c r="Y147" s="840"/>
      <c r="AA147" s="840"/>
      <c r="AC147" s="840"/>
      <c r="AE147" s="840"/>
      <c r="AG147" s="840"/>
      <c r="AI147" s="840"/>
      <c r="AJ147" s="295"/>
      <c r="AK147" s="295"/>
      <c r="AM147" s="840"/>
      <c r="AO147" s="741"/>
    </row>
    <row r="148" spans="3:41" s="120" customFormat="1" ht="20.25" customHeight="1">
      <c r="C148" s="295"/>
      <c r="E148" s="295"/>
      <c r="G148" s="295"/>
      <c r="I148" s="840"/>
      <c r="K148" s="840"/>
      <c r="M148" s="840"/>
      <c r="O148" s="840"/>
      <c r="Q148" s="840"/>
      <c r="S148" s="840"/>
      <c r="U148" s="840"/>
      <c r="W148" s="840"/>
      <c r="Y148" s="840"/>
      <c r="AA148" s="840"/>
      <c r="AC148" s="840"/>
      <c r="AE148" s="840"/>
      <c r="AG148" s="840"/>
      <c r="AI148" s="840"/>
      <c r="AJ148" s="295"/>
      <c r="AK148" s="295"/>
      <c r="AM148" s="840"/>
      <c r="AO148" s="741"/>
    </row>
    <row r="149" spans="3:41" s="120" customFormat="1" ht="20.25" customHeight="1">
      <c r="C149" s="295"/>
      <c r="E149" s="295"/>
      <c r="G149" s="295"/>
      <c r="I149" s="840"/>
      <c r="K149" s="840"/>
      <c r="M149" s="840"/>
      <c r="O149" s="840"/>
      <c r="Q149" s="840"/>
      <c r="S149" s="840"/>
      <c r="U149" s="840"/>
      <c r="W149" s="840"/>
      <c r="Y149" s="840"/>
      <c r="AA149" s="840"/>
      <c r="AC149" s="840"/>
      <c r="AE149" s="840"/>
      <c r="AG149" s="840"/>
      <c r="AI149" s="840"/>
      <c r="AJ149" s="295"/>
      <c r="AK149" s="295"/>
      <c r="AM149" s="840"/>
      <c r="AO149" s="741"/>
    </row>
    <row r="150" spans="3:41" s="120" customFormat="1" ht="20.25" customHeight="1">
      <c r="C150" s="295"/>
      <c r="E150" s="295"/>
      <c r="G150" s="295"/>
      <c r="I150" s="840"/>
      <c r="K150" s="840"/>
      <c r="M150" s="840"/>
      <c r="O150" s="840"/>
      <c r="Q150" s="840"/>
      <c r="S150" s="840"/>
      <c r="U150" s="840"/>
      <c r="W150" s="840"/>
      <c r="Y150" s="840"/>
      <c r="AA150" s="840"/>
      <c r="AC150" s="840"/>
      <c r="AE150" s="840"/>
      <c r="AG150" s="840"/>
      <c r="AI150" s="840"/>
      <c r="AJ150" s="295"/>
      <c r="AK150" s="295"/>
      <c r="AM150" s="840"/>
      <c r="AO150" s="741"/>
    </row>
    <row r="151" spans="3:41" s="120" customFormat="1" ht="20.25" customHeight="1">
      <c r="C151" s="295"/>
      <c r="E151" s="295"/>
      <c r="G151" s="295"/>
      <c r="I151" s="840"/>
      <c r="K151" s="840"/>
      <c r="M151" s="840"/>
      <c r="O151" s="840"/>
      <c r="Q151" s="840"/>
      <c r="S151" s="840"/>
      <c r="U151" s="840"/>
      <c r="W151" s="840"/>
      <c r="Y151" s="840"/>
      <c r="AA151" s="840"/>
      <c r="AC151" s="840"/>
      <c r="AE151" s="840"/>
      <c r="AG151" s="840"/>
      <c r="AI151" s="840"/>
      <c r="AJ151" s="295"/>
      <c r="AK151" s="295"/>
      <c r="AM151" s="840"/>
      <c r="AO151" s="741"/>
    </row>
    <row r="152" spans="3:41" s="120" customFormat="1" ht="24" customHeight="1">
      <c r="C152" s="295"/>
      <c r="E152" s="295"/>
      <c r="G152" s="295"/>
      <c r="I152" s="840"/>
      <c r="K152" s="840"/>
      <c r="M152" s="840"/>
      <c r="O152" s="840"/>
      <c r="Q152" s="840"/>
      <c r="S152" s="840"/>
      <c r="U152" s="840"/>
      <c r="W152" s="840"/>
      <c r="Y152" s="840"/>
      <c r="AA152" s="840"/>
      <c r="AC152" s="840"/>
      <c r="AE152" s="840"/>
      <c r="AG152" s="840"/>
      <c r="AI152" s="840"/>
      <c r="AJ152" s="295"/>
      <c r="AK152" s="295"/>
      <c r="AM152" s="840"/>
      <c r="AO152" s="741"/>
    </row>
    <row r="153" spans="3:41" s="120" customFormat="1" ht="18.75" customHeight="1">
      <c r="C153" s="295"/>
      <c r="E153" s="295"/>
      <c r="G153" s="295"/>
      <c r="I153" s="840"/>
      <c r="K153" s="840"/>
      <c r="M153" s="840"/>
      <c r="O153" s="840"/>
      <c r="Q153" s="840"/>
      <c r="S153" s="840"/>
      <c r="U153" s="840"/>
      <c r="W153" s="840"/>
      <c r="Y153" s="840"/>
      <c r="AA153" s="840"/>
      <c r="AC153" s="840"/>
      <c r="AE153" s="840"/>
      <c r="AG153" s="840"/>
      <c r="AI153" s="840"/>
      <c r="AJ153" s="295"/>
      <c r="AK153" s="295"/>
      <c r="AM153" s="840"/>
      <c r="AO153" s="741"/>
    </row>
    <row r="154" spans="3:41" s="120" customFormat="1" ht="21.75" customHeight="1">
      <c r="C154" s="295"/>
      <c r="E154" s="295"/>
      <c r="G154" s="295"/>
      <c r="I154" s="840"/>
      <c r="K154" s="840"/>
      <c r="M154" s="840"/>
      <c r="O154" s="840"/>
      <c r="Q154" s="840"/>
      <c r="S154" s="840"/>
      <c r="U154" s="840"/>
      <c r="W154" s="840"/>
      <c r="Y154" s="840"/>
      <c r="AA154" s="840"/>
      <c r="AC154" s="840"/>
      <c r="AE154" s="840"/>
      <c r="AG154" s="840"/>
      <c r="AI154" s="840"/>
      <c r="AJ154" s="295"/>
      <c r="AK154" s="295"/>
      <c r="AM154" s="840"/>
      <c r="AO154" s="741"/>
    </row>
    <row r="155" spans="3:41" s="120" customFormat="1" ht="22.5" customHeight="1">
      <c r="C155" s="295"/>
      <c r="E155" s="295"/>
      <c r="G155" s="295"/>
      <c r="I155" s="840"/>
      <c r="K155" s="840"/>
      <c r="M155" s="840"/>
      <c r="O155" s="840"/>
      <c r="Q155" s="840"/>
      <c r="S155" s="840"/>
      <c r="U155" s="840"/>
      <c r="W155" s="840"/>
      <c r="Y155" s="840"/>
      <c r="AA155" s="840"/>
      <c r="AC155" s="840"/>
      <c r="AE155" s="840"/>
      <c r="AG155" s="840"/>
      <c r="AI155" s="840"/>
      <c r="AJ155" s="295"/>
      <c r="AK155" s="295"/>
      <c r="AM155" s="840"/>
      <c r="AO155" s="741"/>
    </row>
    <row r="156" spans="3:41" s="120" customFormat="1" ht="21.75" customHeight="1">
      <c r="C156" s="295"/>
      <c r="E156" s="295"/>
      <c r="G156" s="295"/>
      <c r="I156" s="840"/>
      <c r="K156" s="840"/>
      <c r="M156" s="840"/>
      <c r="O156" s="840"/>
      <c r="Q156" s="840"/>
      <c r="S156" s="840"/>
      <c r="U156" s="840"/>
      <c r="W156" s="840"/>
      <c r="Y156" s="840"/>
      <c r="AA156" s="840"/>
      <c r="AC156" s="840"/>
      <c r="AE156" s="840"/>
      <c r="AG156" s="840"/>
      <c r="AI156" s="840"/>
      <c r="AJ156" s="295"/>
      <c r="AK156" s="295"/>
      <c r="AM156" s="840"/>
      <c r="AO156" s="741"/>
    </row>
    <row r="157" spans="3:41" s="120" customFormat="1" ht="27" customHeight="1">
      <c r="C157" s="295"/>
      <c r="E157" s="295"/>
      <c r="G157" s="295"/>
      <c r="I157" s="840"/>
      <c r="K157" s="840"/>
      <c r="M157" s="840"/>
      <c r="O157" s="840"/>
      <c r="Q157" s="840"/>
      <c r="S157" s="840"/>
      <c r="U157" s="840"/>
      <c r="W157" s="840"/>
      <c r="Y157" s="840"/>
      <c r="AA157" s="840"/>
      <c r="AC157" s="840"/>
      <c r="AE157" s="840"/>
      <c r="AG157" s="840"/>
      <c r="AI157" s="840"/>
      <c r="AJ157" s="295"/>
      <c r="AK157" s="295"/>
      <c r="AM157" s="840"/>
      <c r="AO157" s="741"/>
    </row>
    <row r="158" spans="3:41" s="120" customFormat="1" ht="21" customHeight="1">
      <c r="C158" s="295"/>
      <c r="E158" s="295"/>
      <c r="G158" s="295"/>
      <c r="I158" s="840"/>
      <c r="K158" s="840"/>
      <c r="M158" s="840"/>
      <c r="O158" s="840"/>
      <c r="Q158" s="840"/>
      <c r="S158" s="840"/>
      <c r="U158" s="840"/>
      <c r="W158" s="840"/>
      <c r="Y158" s="840"/>
      <c r="AA158" s="840"/>
      <c r="AC158" s="840"/>
      <c r="AE158" s="840"/>
      <c r="AG158" s="840"/>
      <c r="AI158" s="840"/>
      <c r="AJ158" s="295"/>
      <c r="AK158" s="295"/>
      <c r="AM158" s="840"/>
      <c r="AO158" s="741"/>
    </row>
    <row r="159" spans="3:41" s="120" customFormat="1" ht="20.25" customHeight="1">
      <c r="C159" s="295"/>
      <c r="E159" s="295"/>
      <c r="G159" s="295"/>
      <c r="I159" s="840"/>
      <c r="K159" s="840"/>
      <c r="M159" s="840"/>
      <c r="O159" s="840"/>
      <c r="Q159" s="840"/>
      <c r="S159" s="840"/>
      <c r="U159" s="840"/>
      <c r="W159" s="840"/>
      <c r="Y159" s="840"/>
      <c r="AA159" s="840"/>
      <c r="AC159" s="840"/>
      <c r="AE159" s="840"/>
      <c r="AG159" s="840"/>
      <c r="AI159" s="840"/>
      <c r="AJ159" s="295"/>
      <c r="AK159" s="295"/>
      <c r="AM159" s="840"/>
      <c r="AO159" s="741"/>
    </row>
    <row r="160" spans="3:41" s="120" customFormat="1" ht="20.25" customHeight="1">
      <c r="C160" s="295"/>
      <c r="E160" s="295"/>
      <c r="G160" s="295"/>
      <c r="I160" s="840"/>
      <c r="K160" s="840"/>
      <c r="M160" s="840"/>
      <c r="O160" s="840"/>
      <c r="Q160" s="840"/>
      <c r="S160" s="840"/>
      <c r="U160" s="840"/>
      <c r="W160" s="840"/>
      <c r="Y160" s="840"/>
      <c r="AA160" s="840"/>
      <c r="AC160" s="840"/>
      <c r="AE160" s="840"/>
      <c r="AG160" s="840"/>
      <c r="AI160" s="840"/>
      <c r="AJ160" s="295"/>
      <c r="AK160" s="295"/>
      <c r="AM160" s="840"/>
      <c r="AO160" s="741"/>
    </row>
    <row r="161" spans="3:41" s="120" customFormat="1" ht="20.25" customHeight="1">
      <c r="C161" s="295"/>
      <c r="E161" s="295"/>
      <c r="G161" s="295"/>
      <c r="I161" s="840"/>
      <c r="K161" s="840"/>
      <c r="M161" s="840"/>
      <c r="O161" s="840"/>
      <c r="Q161" s="840"/>
      <c r="S161" s="840"/>
      <c r="U161" s="840"/>
      <c r="W161" s="840"/>
      <c r="Y161" s="840"/>
      <c r="AA161" s="840"/>
      <c r="AC161" s="840"/>
      <c r="AE161" s="840"/>
      <c r="AG161" s="840"/>
      <c r="AI161" s="840"/>
      <c r="AJ161" s="295"/>
      <c r="AK161" s="295"/>
      <c r="AM161" s="840"/>
      <c r="AO161" s="741"/>
    </row>
    <row r="162" spans="3:41" s="120" customFormat="1" ht="20.25" customHeight="1">
      <c r="C162" s="295"/>
      <c r="E162" s="295"/>
      <c r="G162" s="295"/>
      <c r="I162" s="840"/>
      <c r="K162" s="840"/>
      <c r="M162" s="840"/>
      <c r="O162" s="840"/>
      <c r="Q162" s="840"/>
      <c r="S162" s="840"/>
      <c r="U162" s="840"/>
      <c r="W162" s="840"/>
      <c r="Y162" s="840"/>
      <c r="AA162" s="840"/>
      <c r="AC162" s="840"/>
      <c r="AE162" s="840"/>
      <c r="AG162" s="840"/>
      <c r="AI162" s="840"/>
      <c r="AJ162" s="295"/>
      <c r="AK162" s="295"/>
      <c r="AM162" s="840"/>
      <c r="AO162" s="741"/>
    </row>
    <row r="163" spans="3:41" s="120" customFormat="1" ht="21.75" customHeight="1">
      <c r="C163" s="295"/>
      <c r="E163" s="295"/>
      <c r="G163" s="295"/>
      <c r="I163" s="840"/>
      <c r="K163" s="840"/>
      <c r="M163" s="840"/>
      <c r="O163" s="840"/>
      <c r="Q163" s="840"/>
      <c r="S163" s="840"/>
      <c r="U163" s="840"/>
      <c r="W163" s="840"/>
      <c r="Y163" s="840"/>
      <c r="AA163" s="840"/>
      <c r="AC163" s="840"/>
      <c r="AE163" s="840"/>
      <c r="AG163" s="840"/>
      <c r="AI163" s="840"/>
      <c r="AJ163" s="295"/>
      <c r="AK163" s="295"/>
      <c r="AM163" s="840"/>
      <c r="AO163" s="741"/>
    </row>
    <row r="164" spans="3:41" s="120" customFormat="1" ht="20.25" customHeight="1">
      <c r="C164" s="295"/>
      <c r="E164" s="295"/>
      <c r="G164" s="295"/>
      <c r="I164" s="840"/>
      <c r="K164" s="840"/>
      <c r="M164" s="840"/>
      <c r="O164" s="840"/>
      <c r="Q164" s="840"/>
      <c r="S164" s="840"/>
      <c r="U164" s="840"/>
      <c r="W164" s="840"/>
      <c r="Y164" s="840"/>
      <c r="AA164" s="840"/>
      <c r="AC164" s="840"/>
      <c r="AE164" s="840"/>
      <c r="AG164" s="840"/>
      <c r="AI164" s="840"/>
      <c r="AJ164" s="295"/>
      <c r="AK164" s="295"/>
      <c r="AM164" s="840"/>
      <c r="AO164" s="741"/>
    </row>
    <row r="165" spans="3:41" s="120" customFormat="1" ht="24" customHeight="1">
      <c r="C165" s="295"/>
      <c r="E165" s="295"/>
      <c r="G165" s="295"/>
      <c r="I165" s="840"/>
      <c r="K165" s="840"/>
      <c r="M165" s="840"/>
      <c r="O165" s="840"/>
      <c r="Q165" s="840"/>
      <c r="S165" s="840"/>
      <c r="U165" s="840"/>
      <c r="W165" s="840"/>
      <c r="Y165" s="840"/>
      <c r="AA165" s="840"/>
      <c r="AC165" s="840"/>
      <c r="AE165" s="840"/>
      <c r="AG165" s="840"/>
      <c r="AI165" s="840"/>
      <c r="AJ165" s="295"/>
      <c r="AK165" s="295"/>
      <c r="AM165" s="840"/>
      <c r="AO165" s="741"/>
    </row>
    <row r="166" spans="3:41" s="120" customFormat="1" ht="12.75">
      <c r="C166" s="295"/>
      <c r="E166" s="295"/>
      <c r="G166" s="295"/>
      <c r="I166" s="840"/>
      <c r="K166" s="840"/>
      <c r="M166" s="840"/>
      <c r="O166" s="840"/>
      <c r="Q166" s="840"/>
      <c r="S166" s="840"/>
      <c r="U166" s="840"/>
      <c r="W166" s="840"/>
      <c r="Y166" s="840"/>
      <c r="AA166" s="840"/>
      <c r="AC166" s="840"/>
      <c r="AE166" s="840"/>
      <c r="AG166" s="840"/>
      <c r="AI166" s="840"/>
      <c r="AJ166" s="295"/>
      <c r="AK166" s="295"/>
      <c r="AM166" s="840"/>
      <c r="AO166" s="741"/>
    </row>
    <row r="167" spans="3:41" s="120" customFormat="1" ht="12.75">
      <c r="C167" s="295"/>
      <c r="E167" s="295"/>
      <c r="G167" s="295"/>
      <c r="I167" s="840"/>
      <c r="K167" s="840"/>
      <c r="M167" s="840"/>
      <c r="O167" s="840"/>
      <c r="Q167" s="840"/>
      <c r="S167" s="840"/>
      <c r="U167" s="840"/>
      <c r="W167" s="840"/>
      <c r="Y167" s="840"/>
      <c r="AA167" s="840"/>
      <c r="AC167" s="840"/>
      <c r="AE167" s="840"/>
      <c r="AG167" s="840"/>
      <c r="AI167" s="840"/>
      <c r="AJ167" s="295"/>
      <c r="AK167" s="295"/>
      <c r="AM167" s="840"/>
      <c r="AO167" s="741"/>
    </row>
  </sheetData>
  <sheetProtection/>
  <mergeCells count="21">
    <mergeCell ref="AN2:AO2"/>
    <mergeCell ref="AF2:AG2"/>
    <mergeCell ref="AD2:AE2"/>
    <mergeCell ref="AH2:AI2"/>
    <mergeCell ref="AB2:AC2"/>
    <mergeCell ref="V2:W2"/>
    <mergeCell ref="AJ2:AK2"/>
    <mergeCell ref="R2:S2"/>
    <mergeCell ref="T2:U2"/>
    <mergeCell ref="J2:K2"/>
    <mergeCell ref="AL2:AM2"/>
    <mergeCell ref="Z2:AA2"/>
    <mergeCell ref="N2:O2"/>
    <mergeCell ref="X2:Y2"/>
    <mergeCell ref="P2:Q2"/>
    <mergeCell ref="F2:G2"/>
    <mergeCell ref="H2:I2"/>
    <mergeCell ref="L2:M2"/>
    <mergeCell ref="A2:A3"/>
    <mergeCell ref="B2:C2"/>
    <mergeCell ref="D2:E2"/>
  </mergeCells>
  <printOptions/>
  <pageMargins left="0" right="0" top="0" bottom="0.03937007874015748" header="0.15748031496062992" footer="0"/>
  <pageSetup horizontalDpi="600" verticalDpi="600" orientation="landscape" paperSize="9" scale="98" r:id="rId1"/>
  <headerFooter alignWithMargins="0">
    <oddHeader>&amp;L&amp;"Arial,Bold"&amp;9Appendix IV : Fellowship under Bilateral Programme (TICP FY2016)
</oddHeader>
  </headerFooter>
  <rowBreaks count="5" manualBreakCount="5">
    <brk id="19" max="40" man="1"/>
    <brk id="36" max="40" man="1"/>
    <brk id="52" max="40" man="1"/>
    <brk id="69" max="40" man="1"/>
    <brk id="87" max="40" man="1"/>
  </rowBreaks>
  <colBreaks count="1" manualBreakCount="1">
    <brk id="19" max="104" man="1"/>
  </colBreaks>
</worksheet>
</file>

<file path=xl/worksheets/sheet5.xml><?xml version="1.0" encoding="utf-8"?>
<worksheet xmlns="http://schemas.openxmlformats.org/spreadsheetml/2006/main" xmlns:r="http://schemas.openxmlformats.org/officeDocument/2006/relationships">
  <sheetPr>
    <tabColor indexed="14"/>
  </sheetPr>
  <dimension ref="A1:N118"/>
  <sheetViews>
    <sheetView zoomScalePageLayoutView="0" workbookViewId="0" topLeftCell="A1">
      <pane xSplit="3" ySplit="3" topLeftCell="D4" activePane="bottomRight" state="frozen"/>
      <selection pane="topLeft" activeCell="L32" sqref="L32"/>
      <selection pane="topRight" activeCell="L32" sqref="L32"/>
      <selection pane="bottomLeft" activeCell="L32" sqref="L32"/>
      <selection pane="bottomRight" activeCell="A117" sqref="A117:IV119"/>
    </sheetView>
  </sheetViews>
  <sheetFormatPr defaultColWidth="9.140625" defaultRowHeight="12.75"/>
  <cols>
    <col min="1" max="1" width="12.8515625" style="245" customWidth="1"/>
    <col min="2" max="2" width="4.421875" style="222" bestFit="1" customWidth="1"/>
    <col min="3" max="3" width="46.8515625" style="245" customWidth="1"/>
    <col min="4" max="4" width="5.140625" style="491" bestFit="1" customWidth="1"/>
    <col min="5" max="5" width="9.28125" style="480" customWidth="1"/>
    <col min="6" max="6" width="4.421875" style="491" customWidth="1"/>
    <col min="7" max="7" width="9.00390625" style="480" customWidth="1"/>
    <col min="8" max="8" width="4.8515625" style="492" customWidth="1"/>
    <col min="9" max="9" width="9.00390625" style="480" customWidth="1"/>
    <col min="10" max="10" width="5.00390625" style="480" bestFit="1" customWidth="1"/>
    <col min="11" max="11" width="8.57421875" style="480" customWidth="1"/>
    <col min="12" max="13" width="9.140625" style="480" customWidth="1"/>
    <col min="14" max="14" width="10.00390625" style="480" customWidth="1"/>
    <col min="15" max="16384" width="9.140625" style="245" customWidth="1"/>
  </cols>
  <sheetData>
    <row r="1" spans="1:13" ht="23.25" thickBot="1">
      <c r="A1" s="461" t="s">
        <v>395</v>
      </c>
      <c r="B1" s="503"/>
      <c r="C1" s="478"/>
      <c r="D1" s="453"/>
      <c r="E1" s="452"/>
      <c r="F1" s="453"/>
      <c r="G1" s="452"/>
      <c r="H1" s="479"/>
      <c r="M1" s="363" t="s">
        <v>92</v>
      </c>
    </row>
    <row r="2" spans="1:14" s="493" customFormat="1" ht="22.5" thickBot="1">
      <c r="A2" s="1218" t="s">
        <v>1</v>
      </c>
      <c r="B2" s="1220"/>
      <c r="C2" s="1218" t="s">
        <v>93</v>
      </c>
      <c r="D2" s="1223" t="s">
        <v>106</v>
      </c>
      <c r="E2" s="1223"/>
      <c r="F2" s="1223" t="s">
        <v>59</v>
      </c>
      <c r="G2" s="1223"/>
      <c r="H2" s="1223" t="s">
        <v>60</v>
      </c>
      <c r="I2" s="1223"/>
      <c r="J2" s="1223" t="s">
        <v>543</v>
      </c>
      <c r="K2" s="1223"/>
      <c r="L2" s="1225" t="s">
        <v>56</v>
      </c>
      <c r="M2" s="1216" t="s">
        <v>57</v>
      </c>
      <c r="N2" s="1216" t="s">
        <v>58</v>
      </c>
    </row>
    <row r="3" spans="1:14" s="493" customFormat="1" ht="27" customHeight="1" thickBot="1">
      <c r="A3" s="1219"/>
      <c r="B3" s="1221"/>
      <c r="C3" s="1222"/>
      <c r="D3" s="462" t="s">
        <v>10</v>
      </c>
      <c r="E3" s="463" t="s">
        <v>9</v>
      </c>
      <c r="F3" s="608" t="s">
        <v>10</v>
      </c>
      <c r="G3" s="753" t="s">
        <v>9</v>
      </c>
      <c r="H3" s="608" t="s">
        <v>10</v>
      </c>
      <c r="I3" s="753" t="s">
        <v>9</v>
      </c>
      <c r="J3" s="608" t="s">
        <v>10</v>
      </c>
      <c r="K3" s="753" t="s">
        <v>9</v>
      </c>
      <c r="L3" s="1226"/>
      <c r="M3" s="1217"/>
      <c r="N3" s="1217"/>
    </row>
    <row r="4" spans="1:14" s="917" customFormat="1" ht="26.25" customHeight="1">
      <c r="A4" s="454" t="s">
        <v>296</v>
      </c>
      <c r="B4" s="916"/>
      <c r="C4" s="469" t="s">
        <v>96</v>
      </c>
      <c r="D4" s="913"/>
      <c r="E4" s="464"/>
      <c r="F4" s="774"/>
      <c r="G4" s="914"/>
      <c r="H4" s="774"/>
      <c r="I4" s="914"/>
      <c r="J4" s="774"/>
      <c r="K4" s="914"/>
      <c r="L4" s="775"/>
      <c r="M4" s="915"/>
      <c r="N4" s="915"/>
    </row>
    <row r="5" spans="1:14" s="917" customFormat="1" ht="26.25" customHeight="1">
      <c r="A5" s="474" t="s">
        <v>297</v>
      </c>
      <c r="B5" s="933">
        <v>1</v>
      </c>
      <c r="C5" s="868" t="s">
        <v>324</v>
      </c>
      <c r="D5" s="924"/>
      <c r="E5" s="800"/>
      <c r="F5" s="774"/>
      <c r="G5" s="914"/>
      <c r="H5" s="1080">
        <v>3</v>
      </c>
      <c r="I5" s="1081">
        <v>125.2</v>
      </c>
      <c r="J5" s="774"/>
      <c r="K5" s="914"/>
      <c r="L5" s="775"/>
      <c r="M5" s="915"/>
      <c r="N5" s="921">
        <f>SUM(E5+G5+I5+L5)</f>
        <v>125.2</v>
      </c>
    </row>
    <row r="6" spans="1:14" s="917" customFormat="1" ht="23.25" customHeight="1">
      <c r="A6" s="494"/>
      <c r="B6" s="918"/>
      <c r="C6" s="466" t="s">
        <v>97</v>
      </c>
      <c r="D6" s="919"/>
      <c r="E6" s="920"/>
      <c r="F6" s="919"/>
      <c r="G6" s="919"/>
      <c r="H6" s="919">
        <f>SUM(H5)</f>
        <v>3</v>
      </c>
      <c r="I6" s="920">
        <f>SUM(I5)</f>
        <v>125.2</v>
      </c>
      <c r="J6" s="919"/>
      <c r="K6" s="919"/>
      <c r="L6" s="919"/>
      <c r="M6" s="919"/>
      <c r="N6" s="920">
        <f>SUM(N5:N5)</f>
        <v>125.2</v>
      </c>
    </row>
    <row r="7" spans="1:14" s="917" customFormat="1" ht="21.75">
      <c r="A7" s="454" t="s">
        <v>300</v>
      </c>
      <c r="B7" s="922"/>
      <c r="C7" s="469" t="s">
        <v>96</v>
      </c>
      <c r="D7" s="495"/>
      <c r="E7" s="470"/>
      <c r="F7" s="495"/>
      <c r="G7" s="470"/>
      <c r="H7" s="496"/>
      <c r="I7" s="470"/>
      <c r="J7" s="496"/>
      <c r="K7" s="470"/>
      <c r="L7" s="470"/>
      <c r="M7" s="470"/>
      <c r="N7" s="470"/>
    </row>
    <row r="8" spans="1:14" s="917" customFormat="1" ht="25.5" customHeight="1">
      <c r="A8" s="455" t="s">
        <v>303</v>
      </c>
      <c r="B8" s="916">
        <v>2</v>
      </c>
      <c r="C8" s="868" t="s">
        <v>304</v>
      </c>
      <c r="D8" s="924"/>
      <c r="E8" s="800"/>
      <c r="F8" s="924"/>
      <c r="G8" s="800"/>
      <c r="H8" s="802">
        <v>7</v>
      </c>
      <c r="I8" s="800">
        <v>922.2</v>
      </c>
      <c r="J8" s="802">
        <v>2</v>
      </c>
      <c r="K8" s="800">
        <v>348.4</v>
      </c>
      <c r="L8" s="776">
        <v>403</v>
      </c>
      <c r="M8" s="464"/>
      <c r="N8" s="833">
        <f>SUM(E8,G8,I8,L8,K8,M8)</f>
        <v>1673.6</v>
      </c>
    </row>
    <row r="9" spans="1:14" s="928" customFormat="1" ht="40.5">
      <c r="A9" s="455" t="s">
        <v>217</v>
      </c>
      <c r="B9" s="925">
        <v>3</v>
      </c>
      <c r="C9" s="926" t="s">
        <v>306</v>
      </c>
      <c r="D9" s="799"/>
      <c r="E9" s="763"/>
      <c r="F9" s="799"/>
      <c r="G9" s="763"/>
      <c r="H9" s="801"/>
      <c r="I9" s="769"/>
      <c r="J9" s="801">
        <f>5+7</f>
        <v>12</v>
      </c>
      <c r="K9" s="769">
        <v>3742.9</v>
      </c>
      <c r="L9" s="769"/>
      <c r="M9" s="927">
        <v>885</v>
      </c>
      <c r="N9" s="833">
        <f>SUM(E9,G9,I9,L9,K9,M9)</f>
        <v>4627.9</v>
      </c>
    </row>
    <row r="10" spans="1:14" s="917" customFormat="1" ht="24" customHeight="1">
      <c r="A10" s="494"/>
      <c r="B10" s="918"/>
      <c r="C10" s="466" t="s">
        <v>97</v>
      </c>
      <c r="D10" s="919"/>
      <c r="E10" s="920"/>
      <c r="F10" s="919"/>
      <c r="G10" s="920"/>
      <c r="H10" s="919">
        <f aca="true" t="shared" si="0" ref="H10:M10">SUM(H7:H9)</f>
        <v>7</v>
      </c>
      <c r="I10" s="920">
        <f t="shared" si="0"/>
        <v>922.2</v>
      </c>
      <c r="J10" s="919">
        <f t="shared" si="0"/>
        <v>14</v>
      </c>
      <c r="K10" s="920">
        <f t="shared" si="0"/>
        <v>4091.3</v>
      </c>
      <c r="L10" s="920">
        <f t="shared" si="0"/>
        <v>403</v>
      </c>
      <c r="M10" s="920">
        <f t="shared" si="0"/>
        <v>885</v>
      </c>
      <c r="N10" s="920">
        <f>SUM(N8:N9)</f>
        <v>6301.5</v>
      </c>
    </row>
    <row r="11" spans="1:14" s="493" customFormat="1" ht="21.75">
      <c r="A11" s="454" t="s">
        <v>94</v>
      </c>
      <c r="B11" s="505"/>
      <c r="C11" s="454" t="s">
        <v>95</v>
      </c>
      <c r="D11" s="497"/>
      <c r="E11" s="498"/>
      <c r="F11" s="497"/>
      <c r="G11" s="498"/>
      <c r="H11" s="499"/>
      <c r="I11" s="498"/>
      <c r="J11" s="499"/>
      <c r="K11" s="498"/>
      <c r="L11" s="498"/>
      <c r="M11" s="498"/>
      <c r="N11" s="473"/>
    </row>
    <row r="12" spans="1:14" s="483" customFormat="1" ht="64.5" customHeight="1">
      <c r="A12" s="456" t="s">
        <v>139</v>
      </c>
      <c r="B12" s="465">
        <v>4</v>
      </c>
      <c r="C12" s="455" t="s">
        <v>219</v>
      </c>
      <c r="D12" s="799"/>
      <c r="E12" s="763"/>
      <c r="F12" s="799"/>
      <c r="G12" s="763">
        <v>74.8</v>
      </c>
      <c r="H12" s="796"/>
      <c r="I12" s="763"/>
      <c r="J12" s="796"/>
      <c r="K12" s="763"/>
      <c r="L12" s="763"/>
      <c r="M12" s="763">
        <v>19000</v>
      </c>
      <c r="N12" s="833">
        <f>SUM(E12,G12,I12,L12,K12,M12)</f>
        <v>19074.8</v>
      </c>
    </row>
    <row r="13" spans="1:14" s="483" customFormat="1" ht="21.75">
      <c r="A13" s="456"/>
      <c r="B13" s="465">
        <v>5</v>
      </c>
      <c r="C13" s="764" t="s">
        <v>564</v>
      </c>
      <c r="D13" s="799"/>
      <c r="E13" s="763"/>
      <c r="F13" s="799"/>
      <c r="G13" s="763"/>
      <c r="H13" s="796">
        <v>5</v>
      </c>
      <c r="I13" s="763">
        <v>251.8</v>
      </c>
      <c r="J13" s="796"/>
      <c r="K13" s="763"/>
      <c r="L13" s="763"/>
      <c r="M13" s="763"/>
      <c r="N13" s="833">
        <f aca="true" t="shared" si="1" ref="N13:N23">SUM(E13,G13,I13,L13,K13,M13)</f>
        <v>251.8</v>
      </c>
    </row>
    <row r="14" spans="1:14" s="483" customFormat="1" ht="21.75">
      <c r="A14" s="456"/>
      <c r="B14" s="465">
        <v>6</v>
      </c>
      <c r="C14" s="764" t="s">
        <v>565</v>
      </c>
      <c r="D14" s="799"/>
      <c r="E14" s="763"/>
      <c r="F14" s="799"/>
      <c r="G14" s="763"/>
      <c r="H14" s="796">
        <v>2</v>
      </c>
      <c r="I14" s="763">
        <v>31.2</v>
      </c>
      <c r="J14" s="796"/>
      <c r="K14" s="763"/>
      <c r="L14" s="763"/>
      <c r="M14" s="763">
        <v>19400</v>
      </c>
      <c r="N14" s="833">
        <f t="shared" si="1"/>
        <v>19431.2</v>
      </c>
    </row>
    <row r="15" spans="1:14" s="483" customFormat="1" ht="40.5">
      <c r="A15" s="455" t="s">
        <v>140</v>
      </c>
      <c r="B15" s="1096">
        <v>7</v>
      </c>
      <c r="C15" s="483" t="s">
        <v>191</v>
      </c>
      <c r="D15" s="803"/>
      <c r="E15" s="803"/>
      <c r="F15" s="803"/>
      <c r="G15" s="803"/>
      <c r="H15" s="803"/>
      <c r="I15" s="803"/>
      <c r="J15" s="803"/>
      <c r="K15" s="803"/>
      <c r="L15" s="803"/>
      <c r="M15" s="804">
        <v>20000</v>
      </c>
      <c r="N15" s="833">
        <f t="shared" si="1"/>
        <v>20000</v>
      </c>
    </row>
    <row r="16" spans="1:14" s="250" customFormat="1" ht="21.75">
      <c r="A16" s="455"/>
      <c r="B16" s="500"/>
      <c r="C16" s="469" t="s">
        <v>96</v>
      </c>
      <c r="D16" s="805"/>
      <c r="E16" s="769"/>
      <c r="F16" s="805"/>
      <c r="G16" s="769"/>
      <c r="H16" s="801"/>
      <c r="I16" s="769"/>
      <c r="J16" s="801"/>
      <c r="K16" s="769"/>
      <c r="L16" s="769"/>
      <c r="M16" s="769"/>
      <c r="N16" s="833"/>
    </row>
    <row r="17" spans="1:14" s="250" customFormat="1" ht="42">
      <c r="A17" s="474" t="s">
        <v>228</v>
      </c>
      <c r="B17" s="500">
        <v>8</v>
      </c>
      <c r="C17" s="764" t="s">
        <v>289</v>
      </c>
      <c r="D17" s="805">
        <v>20</v>
      </c>
      <c r="E17" s="769">
        <v>2963.6</v>
      </c>
      <c r="F17" s="805"/>
      <c r="G17" s="769"/>
      <c r="H17" s="801">
        <v>10</v>
      </c>
      <c r="I17" s="769">
        <v>137.7</v>
      </c>
      <c r="J17" s="801"/>
      <c r="K17" s="769"/>
      <c r="L17" s="769"/>
      <c r="M17" s="769"/>
      <c r="N17" s="833">
        <f t="shared" si="1"/>
        <v>3101.2999999999997</v>
      </c>
    </row>
    <row r="18" spans="1:14" s="250" customFormat="1" ht="21.75">
      <c r="A18" s="456" t="s">
        <v>193</v>
      </c>
      <c r="B18" s="465">
        <v>9</v>
      </c>
      <c r="C18" s="459" t="s">
        <v>539</v>
      </c>
      <c r="D18" s="799"/>
      <c r="E18" s="763"/>
      <c r="F18" s="799"/>
      <c r="G18" s="763">
        <v>1054.2</v>
      </c>
      <c r="H18" s="796">
        <f>3+1+4</f>
        <v>8</v>
      </c>
      <c r="I18" s="763">
        <v>1889</v>
      </c>
      <c r="J18" s="796"/>
      <c r="K18" s="763"/>
      <c r="L18" s="763">
        <v>452.4</v>
      </c>
      <c r="M18" s="763"/>
      <c r="N18" s="833">
        <f t="shared" si="1"/>
        <v>3395.6</v>
      </c>
    </row>
    <row r="19" spans="1:14" s="250" customFormat="1" ht="21.75">
      <c r="A19" s="484"/>
      <c r="B19" s="465">
        <v>10</v>
      </c>
      <c r="C19" s="764" t="s">
        <v>247</v>
      </c>
      <c r="D19" s="799"/>
      <c r="E19" s="763"/>
      <c r="F19" s="799"/>
      <c r="G19" s="763">
        <v>68.4</v>
      </c>
      <c r="H19" s="796"/>
      <c r="I19" s="763"/>
      <c r="J19" s="796"/>
      <c r="K19" s="763"/>
      <c r="L19" s="763"/>
      <c r="M19" s="763"/>
      <c r="N19" s="833">
        <f t="shared" si="1"/>
        <v>68.4</v>
      </c>
    </row>
    <row r="20" spans="1:14" s="250" customFormat="1" ht="25.5" customHeight="1">
      <c r="A20" s="484"/>
      <c r="B20" s="465">
        <v>11</v>
      </c>
      <c r="C20" s="912" t="s">
        <v>288</v>
      </c>
      <c r="D20" s="799"/>
      <c r="E20" s="763"/>
      <c r="F20" s="799"/>
      <c r="G20" s="763">
        <v>59.9</v>
      </c>
      <c r="H20" s="796">
        <v>4</v>
      </c>
      <c r="I20" s="763">
        <v>810.4</v>
      </c>
      <c r="J20" s="796"/>
      <c r="K20" s="763"/>
      <c r="L20" s="763">
        <v>29.2</v>
      </c>
      <c r="M20" s="763"/>
      <c r="N20" s="833">
        <f t="shared" si="1"/>
        <v>899.5</v>
      </c>
    </row>
    <row r="21" spans="1:14" s="250" customFormat="1" ht="40.5">
      <c r="A21" s="455" t="s">
        <v>285</v>
      </c>
      <c r="B21" s="465">
        <v>12</v>
      </c>
      <c r="C21" s="912" t="s">
        <v>540</v>
      </c>
      <c r="D21" s="799">
        <v>150</v>
      </c>
      <c r="E21" s="763">
        <v>4367.8</v>
      </c>
      <c r="F21" s="799"/>
      <c r="G21" s="763"/>
      <c r="H21" s="796"/>
      <c r="I21" s="763"/>
      <c r="J21" s="796"/>
      <c r="K21" s="763"/>
      <c r="L21" s="763"/>
      <c r="M21" s="763"/>
      <c r="N21" s="833">
        <f t="shared" si="1"/>
        <v>4367.8</v>
      </c>
    </row>
    <row r="22" spans="1:14" s="250" customFormat="1" ht="27" customHeight="1">
      <c r="A22" s="455"/>
      <c r="B22" s="465">
        <v>13</v>
      </c>
      <c r="C22" s="912" t="s">
        <v>541</v>
      </c>
      <c r="D22" s="799"/>
      <c r="E22" s="763"/>
      <c r="F22" s="799"/>
      <c r="G22" s="763"/>
      <c r="H22" s="796">
        <f>4+1</f>
        <v>5</v>
      </c>
      <c r="I22" s="763">
        <v>1119</v>
      </c>
      <c r="J22" s="796"/>
      <c r="K22" s="763"/>
      <c r="L22" s="763"/>
      <c r="M22" s="763"/>
      <c r="N22" s="833">
        <f t="shared" si="1"/>
        <v>1119</v>
      </c>
    </row>
    <row r="23" spans="1:14" s="250" customFormat="1" ht="40.5">
      <c r="A23" s="455" t="s">
        <v>217</v>
      </c>
      <c r="B23" s="465">
        <v>14</v>
      </c>
      <c r="C23" s="912" t="s">
        <v>284</v>
      </c>
      <c r="D23" s="799"/>
      <c r="E23" s="763"/>
      <c r="F23" s="799"/>
      <c r="G23" s="763"/>
      <c r="J23" s="796"/>
      <c r="K23" s="763"/>
      <c r="L23" s="763"/>
      <c r="M23" s="763">
        <f>1000+1000</f>
        <v>2000</v>
      </c>
      <c r="N23" s="833">
        <f t="shared" si="1"/>
        <v>2000</v>
      </c>
    </row>
    <row r="24" spans="1:14" s="917" customFormat="1" ht="24" customHeight="1">
      <c r="A24" s="494"/>
      <c r="B24" s="918"/>
      <c r="C24" s="466" t="s">
        <v>97</v>
      </c>
      <c r="D24" s="919">
        <f>SUM(D12:D23)</f>
        <v>170</v>
      </c>
      <c r="E24" s="920">
        <f aca="true" t="shared" si="2" ref="E24:M24">SUM(E12:E23)</f>
        <v>7331.4</v>
      </c>
      <c r="F24" s="919">
        <f t="shared" si="2"/>
        <v>0</v>
      </c>
      <c r="G24" s="920">
        <f t="shared" si="2"/>
        <v>1257.3000000000002</v>
      </c>
      <c r="H24" s="919">
        <f t="shared" si="2"/>
        <v>34</v>
      </c>
      <c r="I24" s="920">
        <f t="shared" si="2"/>
        <v>4239.1</v>
      </c>
      <c r="J24" s="919">
        <f t="shared" si="2"/>
        <v>0</v>
      </c>
      <c r="K24" s="919">
        <f t="shared" si="2"/>
        <v>0</v>
      </c>
      <c r="L24" s="920">
        <f t="shared" si="2"/>
        <v>481.59999999999997</v>
      </c>
      <c r="M24" s="920">
        <f t="shared" si="2"/>
        <v>60400</v>
      </c>
      <c r="N24" s="920">
        <f>SUM(N12:N23)</f>
        <v>73709.40000000001</v>
      </c>
    </row>
    <row r="25" spans="1:14" s="917" customFormat="1" ht="21.75">
      <c r="A25" s="935" t="s">
        <v>551</v>
      </c>
      <c r="B25" s="922"/>
      <c r="C25" s="469" t="s">
        <v>96</v>
      </c>
      <c r="D25" s="495"/>
      <c r="E25" s="470"/>
      <c r="F25" s="495"/>
      <c r="G25" s="470"/>
      <c r="H25" s="496"/>
      <c r="I25" s="470"/>
      <c r="J25" s="496"/>
      <c r="K25" s="470"/>
      <c r="L25" s="470"/>
      <c r="M25" s="470"/>
      <c r="N25" s="470"/>
    </row>
    <row r="26" spans="1:14" s="928" customFormat="1" ht="40.5">
      <c r="A26" s="474" t="s">
        <v>552</v>
      </c>
      <c r="B26" s="925">
        <v>15</v>
      </c>
      <c r="C26" s="768" t="s">
        <v>553</v>
      </c>
      <c r="D26" s="760"/>
      <c r="E26" s="761"/>
      <c r="F26" s="760"/>
      <c r="G26" s="761"/>
      <c r="H26" s="759">
        <v>3</v>
      </c>
      <c r="I26" s="767">
        <v>179</v>
      </c>
      <c r="J26" s="759"/>
      <c r="K26" s="767"/>
      <c r="L26" s="767"/>
      <c r="M26" s="767"/>
      <c r="N26" s="833">
        <f>SUM(E26,G26,I26,L26,K26,M26)</f>
        <v>179</v>
      </c>
    </row>
    <row r="27" spans="1:14" s="917" customFormat="1" ht="21.75">
      <c r="A27" s="930"/>
      <c r="B27" s="936"/>
      <c r="C27" s="466" t="s">
        <v>97</v>
      </c>
      <c r="D27" s="931"/>
      <c r="E27" s="932"/>
      <c r="F27" s="931"/>
      <c r="G27" s="931"/>
      <c r="H27" s="931">
        <f>SUM(H26)</f>
        <v>3</v>
      </c>
      <c r="I27" s="932">
        <f>SUM(I26)</f>
        <v>179</v>
      </c>
      <c r="J27" s="931"/>
      <c r="K27" s="931"/>
      <c r="L27" s="932"/>
      <c r="M27" s="931"/>
      <c r="N27" s="937">
        <f>SUM(N26)</f>
        <v>179</v>
      </c>
    </row>
    <row r="28" spans="1:14" s="917" customFormat="1" ht="21.75">
      <c r="A28" s="935" t="s">
        <v>321</v>
      </c>
      <c r="B28" s="922"/>
      <c r="C28" s="469" t="s">
        <v>95</v>
      </c>
      <c r="D28" s="495"/>
      <c r="E28" s="470"/>
      <c r="F28" s="495"/>
      <c r="G28" s="470"/>
      <c r="H28" s="496"/>
      <c r="I28" s="470"/>
      <c r="J28" s="496"/>
      <c r="K28" s="470"/>
      <c r="L28" s="470"/>
      <c r="M28" s="470"/>
      <c r="N28" s="470"/>
    </row>
    <row r="29" spans="1:14" s="928" customFormat="1" ht="21.75">
      <c r="A29" s="474" t="s">
        <v>368</v>
      </c>
      <c r="B29" s="925">
        <v>16</v>
      </c>
      <c r="C29" s="768" t="s">
        <v>568</v>
      </c>
      <c r="D29" s="760">
        <v>18</v>
      </c>
      <c r="E29" s="761">
        <v>507.8</v>
      </c>
      <c r="F29" s="760"/>
      <c r="G29" s="761"/>
      <c r="H29" s="759">
        <v>5</v>
      </c>
      <c r="I29" s="767">
        <v>369.9</v>
      </c>
      <c r="J29" s="759"/>
      <c r="K29" s="767"/>
      <c r="L29" s="767"/>
      <c r="M29" s="767"/>
      <c r="N29" s="833">
        <f>SUM(E29,G29,I29,L29,K29,M29)</f>
        <v>877.7</v>
      </c>
    </row>
    <row r="30" spans="1:14" s="917" customFormat="1" ht="21.75">
      <c r="A30" s="930"/>
      <c r="B30" s="936"/>
      <c r="C30" s="466" t="s">
        <v>97</v>
      </c>
      <c r="D30" s="931">
        <f>SUM(D29)</f>
        <v>18</v>
      </c>
      <c r="E30" s="932">
        <f aca="true" t="shared" si="3" ref="E30:M30">SUM(E29)</f>
        <v>507.8</v>
      </c>
      <c r="F30" s="931">
        <f t="shared" si="3"/>
        <v>0</v>
      </c>
      <c r="G30" s="931">
        <f t="shared" si="3"/>
        <v>0</v>
      </c>
      <c r="H30" s="931">
        <f t="shared" si="3"/>
        <v>5</v>
      </c>
      <c r="I30" s="932">
        <f t="shared" si="3"/>
        <v>369.9</v>
      </c>
      <c r="J30" s="931">
        <f t="shared" si="3"/>
        <v>0</v>
      </c>
      <c r="K30" s="931">
        <f t="shared" si="3"/>
        <v>0</v>
      </c>
      <c r="L30" s="931">
        <f t="shared" si="3"/>
        <v>0</v>
      </c>
      <c r="M30" s="931">
        <f t="shared" si="3"/>
        <v>0</v>
      </c>
      <c r="N30" s="937">
        <f>SUM(N29)</f>
        <v>877.7</v>
      </c>
    </row>
    <row r="31" spans="1:14" s="917" customFormat="1" ht="21.75">
      <c r="A31" s="935" t="s">
        <v>558</v>
      </c>
      <c r="B31" s="922"/>
      <c r="C31" s="469" t="s">
        <v>96</v>
      </c>
      <c r="D31" s="495"/>
      <c r="E31" s="470"/>
      <c r="F31" s="495"/>
      <c r="G31" s="470"/>
      <c r="H31" s="496"/>
      <c r="I31" s="470"/>
      <c r="J31" s="496"/>
      <c r="K31" s="470"/>
      <c r="L31" s="470"/>
      <c r="M31" s="470"/>
      <c r="N31" s="470"/>
    </row>
    <row r="32" spans="1:14" s="928" customFormat="1" ht="21.75">
      <c r="A32" s="474" t="s">
        <v>297</v>
      </c>
      <c r="B32" s="925">
        <v>17</v>
      </c>
      <c r="C32" s="768" t="s">
        <v>310</v>
      </c>
      <c r="D32" s="760"/>
      <c r="E32" s="761"/>
      <c r="F32" s="760"/>
      <c r="G32" s="761"/>
      <c r="H32" s="759">
        <v>3</v>
      </c>
      <c r="I32" s="767">
        <v>269.7</v>
      </c>
      <c r="J32" s="759"/>
      <c r="K32" s="767"/>
      <c r="L32" s="767"/>
      <c r="M32" s="767"/>
      <c r="N32" s="833">
        <f>SUM(E32,G32,I32,L32,K32,M32)</f>
        <v>269.7</v>
      </c>
    </row>
    <row r="33" spans="1:14" s="917" customFormat="1" ht="21.75">
      <c r="A33" s="930"/>
      <c r="B33" s="936"/>
      <c r="C33" s="466" t="s">
        <v>97</v>
      </c>
      <c r="D33" s="931"/>
      <c r="E33" s="932"/>
      <c r="F33" s="931"/>
      <c r="G33" s="931"/>
      <c r="H33" s="931">
        <f>SUM(H32)</f>
        <v>3</v>
      </c>
      <c r="I33" s="932">
        <f>SUM(I32)</f>
        <v>269.7</v>
      </c>
      <c r="J33" s="931"/>
      <c r="K33" s="931"/>
      <c r="L33" s="932"/>
      <c r="M33" s="931"/>
      <c r="N33" s="937">
        <f>SUM(N32)</f>
        <v>269.7</v>
      </c>
    </row>
    <row r="34" spans="1:14" s="917" customFormat="1" ht="21.75">
      <c r="A34" s="935" t="s">
        <v>556</v>
      </c>
      <c r="B34" s="922"/>
      <c r="C34" s="469" t="s">
        <v>96</v>
      </c>
      <c r="D34" s="495"/>
      <c r="E34" s="470"/>
      <c r="F34" s="495"/>
      <c r="G34" s="470"/>
      <c r="H34" s="496"/>
      <c r="I34" s="470"/>
      <c r="J34" s="496"/>
      <c r="K34" s="470"/>
      <c r="L34" s="470"/>
      <c r="M34" s="470"/>
      <c r="N34" s="470"/>
    </row>
    <row r="35" spans="1:14" s="928" customFormat="1" ht="21" customHeight="1">
      <c r="A35" s="474" t="s">
        <v>297</v>
      </c>
      <c r="B35" s="925">
        <v>18</v>
      </c>
      <c r="C35" s="764" t="s">
        <v>557</v>
      </c>
      <c r="D35" s="760"/>
      <c r="E35" s="761"/>
      <c r="F35" s="760"/>
      <c r="G35" s="761"/>
      <c r="H35" s="796">
        <v>3</v>
      </c>
      <c r="I35" s="763">
        <v>272</v>
      </c>
      <c r="J35" s="759"/>
      <c r="K35" s="767"/>
      <c r="L35" s="767"/>
      <c r="M35" s="767"/>
      <c r="N35" s="833">
        <f>SUM(E35,G35,I35,L35,K35,M35)</f>
        <v>272</v>
      </c>
    </row>
    <row r="36" spans="1:14" s="917" customFormat="1" ht="21.75">
      <c r="A36" s="930"/>
      <c r="B36" s="936"/>
      <c r="C36" s="466" t="s">
        <v>97</v>
      </c>
      <c r="D36" s="931"/>
      <c r="E36" s="932"/>
      <c r="F36" s="931"/>
      <c r="G36" s="931"/>
      <c r="H36" s="931">
        <f>SUM(H35)</f>
        <v>3</v>
      </c>
      <c r="I36" s="932">
        <f>SUM(I35)</f>
        <v>272</v>
      </c>
      <c r="J36" s="931"/>
      <c r="K36" s="932"/>
      <c r="L36" s="931"/>
      <c r="M36" s="931"/>
      <c r="N36" s="937">
        <f>SUM(N35)</f>
        <v>272</v>
      </c>
    </row>
    <row r="37" spans="1:14" s="493" customFormat="1" ht="21.75">
      <c r="A37" s="454" t="s">
        <v>98</v>
      </c>
      <c r="B37" s="505"/>
      <c r="C37" s="454" t="s">
        <v>95</v>
      </c>
      <c r="D37" s="495"/>
      <c r="E37" s="470"/>
      <c r="F37" s="495"/>
      <c r="G37" s="470"/>
      <c r="H37" s="496"/>
      <c r="I37" s="470"/>
      <c r="J37" s="496"/>
      <c r="K37" s="470"/>
      <c r="L37" s="470"/>
      <c r="M37" s="470"/>
      <c r="N37" s="470"/>
    </row>
    <row r="38" spans="1:14" s="481" customFormat="1" ht="81">
      <c r="A38" s="455" t="s">
        <v>140</v>
      </c>
      <c r="B38" s="471">
        <v>19</v>
      </c>
      <c r="C38" s="455" t="s">
        <v>155</v>
      </c>
      <c r="D38" s="760">
        <f>190+81</f>
        <v>271</v>
      </c>
      <c r="E38" s="761">
        <v>6649.9</v>
      </c>
      <c r="F38" s="760"/>
      <c r="G38" s="761"/>
      <c r="H38" s="759"/>
      <c r="I38" s="767"/>
      <c r="J38" s="759"/>
      <c r="K38" s="767"/>
      <c r="L38" s="767"/>
      <c r="M38" s="767"/>
      <c r="N38" s="833">
        <f aca="true" t="shared" si="4" ref="N38:N71">SUM(E38,G38,I38,L38,K38,M38)</f>
        <v>6649.9</v>
      </c>
    </row>
    <row r="39" spans="1:14" s="481" customFormat="1" ht="21.75">
      <c r="A39" s="455"/>
      <c r="B39" s="471">
        <v>20</v>
      </c>
      <c r="C39" s="764" t="s">
        <v>563</v>
      </c>
      <c r="D39" s="760"/>
      <c r="E39" s="761"/>
      <c r="F39" s="760"/>
      <c r="G39" s="761"/>
      <c r="H39" s="759">
        <v>3</v>
      </c>
      <c r="I39" s="767">
        <v>226.9</v>
      </c>
      <c r="J39" s="759"/>
      <c r="K39" s="767"/>
      <c r="L39" s="767"/>
      <c r="M39" s="767"/>
      <c r="N39" s="833">
        <f t="shared" si="4"/>
        <v>226.9</v>
      </c>
    </row>
    <row r="40" spans="2:14" s="493" customFormat="1" ht="21.75">
      <c r="B40" s="502"/>
      <c r="C40" s="469" t="s">
        <v>96</v>
      </c>
      <c r="D40" s="806"/>
      <c r="E40" s="807"/>
      <c r="F40" s="806"/>
      <c r="G40" s="807"/>
      <c r="H40" s="808"/>
      <c r="I40" s="809"/>
      <c r="J40" s="808"/>
      <c r="K40" s="809"/>
      <c r="L40" s="809"/>
      <c r="M40" s="809"/>
      <c r="N40" s="807"/>
    </row>
    <row r="41" spans="1:14" s="481" customFormat="1" ht="21.75">
      <c r="A41" s="455" t="s">
        <v>141</v>
      </c>
      <c r="B41" s="471">
        <v>21</v>
      </c>
      <c r="C41" s="490" t="s">
        <v>160</v>
      </c>
      <c r="D41" s="760"/>
      <c r="E41" s="761"/>
      <c r="F41" s="760"/>
      <c r="G41" s="761">
        <v>504</v>
      </c>
      <c r="H41" s="759"/>
      <c r="I41" s="767"/>
      <c r="J41" s="759"/>
      <c r="K41" s="767"/>
      <c r="L41" s="767"/>
      <c r="M41" s="767"/>
      <c r="N41" s="833">
        <f t="shared" si="4"/>
        <v>504</v>
      </c>
    </row>
    <row r="42" spans="1:14" s="481" customFormat="1" ht="42">
      <c r="A42" s="455"/>
      <c r="B42" s="471">
        <v>22</v>
      </c>
      <c r="C42" s="459" t="s">
        <v>531</v>
      </c>
      <c r="D42" s="760">
        <v>5</v>
      </c>
      <c r="E42" s="761">
        <v>708.8</v>
      </c>
      <c r="F42" s="760"/>
      <c r="G42" s="761"/>
      <c r="H42" s="759">
        <v>2</v>
      </c>
      <c r="I42" s="767">
        <v>8.4</v>
      </c>
      <c r="J42" s="759"/>
      <c r="K42" s="767"/>
      <c r="L42" s="767"/>
      <c r="M42" s="767"/>
      <c r="N42" s="833">
        <f t="shared" si="4"/>
        <v>717.1999999999999</v>
      </c>
    </row>
    <row r="43" spans="1:14" s="481" customFormat="1" ht="21">
      <c r="A43" s="457"/>
      <c r="B43" s="471">
        <v>23</v>
      </c>
      <c r="C43" s="490" t="s">
        <v>183</v>
      </c>
      <c r="D43" s="760"/>
      <c r="E43" s="761"/>
      <c r="F43" s="760"/>
      <c r="G43" s="761"/>
      <c r="H43" s="759"/>
      <c r="I43" s="767"/>
      <c r="J43" s="759"/>
      <c r="K43" s="767"/>
      <c r="L43" s="767"/>
      <c r="M43" s="767"/>
      <c r="N43" s="769"/>
    </row>
    <row r="44" spans="1:14" s="481" customFormat="1" ht="42">
      <c r="A44" s="457"/>
      <c r="B44" s="471"/>
      <c r="C44" s="609" t="s">
        <v>184</v>
      </c>
      <c r="D44" s="760"/>
      <c r="E44" s="761"/>
      <c r="F44" s="760"/>
      <c r="G44" s="761">
        <v>285.5</v>
      </c>
      <c r="H44" s="759"/>
      <c r="I44" s="767"/>
      <c r="J44" s="759"/>
      <c r="K44" s="767"/>
      <c r="L44" s="767"/>
      <c r="M44" s="767"/>
      <c r="N44" s="833">
        <f t="shared" si="4"/>
        <v>285.5</v>
      </c>
    </row>
    <row r="45" spans="1:14" s="481" customFormat="1" ht="21.75">
      <c r="A45" s="457"/>
      <c r="B45" s="471">
        <v>24</v>
      </c>
      <c r="C45" s="459" t="s">
        <v>189</v>
      </c>
      <c r="D45" s="760"/>
      <c r="E45" s="761"/>
      <c r="F45" s="760"/>
      <c r="G45" s="761"/>
      <c r="H45" s="759">
        <v>3</v>
      </c>
      <c r="I45" s="767">
        <v>288.3</v>
      </c>
      <c r="J45" s="759"/>
      <c r="K45" s="767"/>
      <c r="L45" s="767">
        <v>5360</v>
      </c>
      <c r="M45" s="767"/>
      <c r="N45" s="833">
        <f t="shared" si="4"/>
        <v>5648.3</v>
      </c>
    </row>
    <row r="46" spans="1:14" s="481" customFormat="1" ht="21.75">
      <c r="A46" s="457"/>
      <c r="B46" s="471">
        <v>25</v>
      </c>
      <c r="C46" s="459" t="s">
        <v>570</v>
      </c>
      <c r="D46" s="760">
        <v>16</v>
      </c>
      <c r="E46" s="761">
        <v>207.7</v>
      </c>
      <c r="F46" s="760">
        <v>3</v>
      </c>
      <c r="G46" s="761">
        <v>384.3</v>
      </c>
      <c r="H46" s="759">
        <f>11</f>
        <v>11</v>
      </c>
      <c r="I46" s="767">
        <v>262.3</v>
      </c>
      <c r="J46" s="759"/>
      <c r="K46" s="767"/>
      <c r="L46" s="767"/>
      <c r="M46" s="767"/>
      <c r="N46" s="833">
        <f t="shared" si="4"/>
        <v>854.3</v>
      </c>
    </row>
    <row r="47" spans="1:14" s="481" customFormat="1" ht="42">
      <c r="A47" s="456" t="s">
        <v>139</v>
      </c>
      <c r="B47" s="471">
        <v>26</v>
      </c>
      <c r="C47" s="762" t="s">
        <v>389</v>
      </c>
      <c r="D47" s="760"/>
      <c r="E47" s="763"/>
      <c r="F47" s="760">
        <v>2</v>
      </c>
      <c r="G47" s="761">
        <v>245</v>
      </c>
      <c r="H47" s="759">
        <f>14</f>
        <v>14</v>
      </c>
      <c r="I47" s="767">
        <v>1057.1</v>
      </c>
      <c r="J47" s="759"/>
      <c r="K47" s="767"/>
      <c r="L47" s="767"/>
      <c r="M47" s="767"/>
      <c r="N47" s="833">
        <f t="shared" si="4"/>
        <v>1302.1</v>
      </c>
    </row>
    <row r="48" spans="1:14" s="481" customFormat="1" ht="42">
      <c r="A48" s="456"/>
      <c r="B48" s="471">
        <v>27</v>
      </c>
      <c r="C48" s="459" t="s">
        <v>154</v>
      </c>
      <c r="D48" s="760"/>
      <c r="E48" s="800"/>
      <c r="F48" s="760">
        <v>1</v>
      </c>
      <c r="G48" s="761">
        <v>507.6</v>
      </c>
      <c r="H48" s="760"/>
      <c r="I48" s="767"/>
      <c r="J48" s="760"/>
      <c r="K48" s="767"/>
      <c r="L48" s="767"/>
      <c r="M48" s="767"/>
      <c r="N48" s="833">
        <f t="shared" si="4"/>
        <v>507.6</v>
      </c>
    </row>
    <row r="49" spans="1:14" s="481" customFormat="1" ht="22.5" customHeight="1">
      <c r="A49" s="457"/>
      <c r="B49" s="471">
        <v>28</v>
      </c>
      <c r="C49" s="481" t="s">
        <v>185</v>
      </c>
      <c r="D49" s="760"/>
      <c r="E49" s="800"/>
      <c r="F49" s="760">
        <v>1</v>
      </c>
      <c r="G49" s="761">
        <v>521.1</v>
      </c>
      <c r="H49" s="759"/>
      <c r="I49" s="767"/>
      <c r="J49" s="759"/>
      <c r="K49" s="767"/>
      <c r="L49" s="767"/>
      <c r="M49" s="767"/>
      <c r="N49" s="833">
        <f t="shared" si="4"/>
        <v>521.1</v>
      </c>
    </row>
    <row r="50" spans="1:14" s="481" customFormat="1" ht="22.5" customHeight="1">
      <c r="A50" s="457"/>
      <c r="B50" s="471">
        <v>29</v>
      </c>
      <c r="C50" s="481" t="s">
        <v>186</v>
      </c>
      <c r="D50" s="760">
        <v>13</v>
      </c>
      <c r="E50" s="800">
        <v>5191</v>
      </c>
      <c r="F50" s="760"/>
      <c r="G50" s="761">
        <v>1243.7</v>
      </c>
      <c r="H50" s="759"/>
      <c r="I50" s="767"/>
      <c r="J50" s="759"/>
      <c r="K50" s="767"/>
      <c r="L50" s="767"/>
      <c r="M50" s="767"/>
      <c r="N50" s="833">
        <f t="shared" si="4"/>
        <v>6434.7</v>
      </c>
    </row>
    <row r="51" spans="1:14" s="481" customFormat="1" ht="22.5" customHeight="1">
      <c r="A51" s="457"/>
      <c r="B51" s="471">
        <v>30</v>
      </c>
      <c r="C51" s="481" t="s">
        <v>187</v>
      </c>
      <c r="D51" s="760">
        <v>10</v>
      </c>
      <c r="E51" s="800">
        <v>1649.8</v>
      </c>
      <c r="F51" s="760"/>
      <c r="G51" s="761"/>
      <c r="H51" s="759"/>
      <c r="I51" s="767"/>
      <c r="J51" s="759"/>
      <c r="K51" s="767"/>
      <c r="L51" s="767">
        <v>3700</v>
      </c>
      <c r="M51" s="767"/>
      <c r="N51" s="833">
        <f t="shared" si="4"/>
        <v>5349.8</v>
      </c>
    </row>
    <row r="52" spans="1:14" s="481" customFormat="1" ht="22.5" customHeight="1">
      <c r="A52" s="457"/>
      <c r="B52" s="471">
        <v>31</v>
      </c>
      <c r="C52" s="481" t="s">
        <v>188</v>
      </c>
      <c r="D52" s="760"/>
      <c r="E52" s="800"/>
      <c r="F52" s="760"/>
      <c r="G52" s="761">
        <v>4639.4</v>
      </c>
      <c r="H52" s="759"/>
      <c r="I52" s="767"/>
      <c r="J52" s="759"/>
      <c r="K52" s="767"/>
      <c r="L52" s="767"/>
      <c r="M52" s="767"/>
      <c r="N52" s="833">
        <f t="shared" si="4"/>
        <v>4639.4</v>
      </c>
    </row>
    <row r="53" spans="1:14" s="481" customFormat="1" ht="39" customHeight="1">
      <c r="A53" s="457"/>
      <c r="B53" s="471">
        <v>32</v>
      </c>
      <c r="C53" s="866" t="s">
        <v>215</v>
      </c>
      <c r="D53" s="760"/>
      <c r="E53" s="763"/>
      <c r="F53" s="760"/>
      <c r="G53" s="761">
        <v>1543</v>
      </c>
      <c r="H53" s="759"/>
      <c r="I53" s="767"/>
      <c r="J53" s="759"/>
      <c r="K53" s="767"/>
      <c r="L53" s="767"/>
      <c r="M53" s="767"/>
      <c r="N53" s="833">
        <f t="shared" si="4"/>
        <v>1543</v>
      </c>
    </row>
    <row r="54" spans="1:14" s="481" customFormat="1" ht="22.5" customHeight="1">
      <c r="A54" s="457"/>
      <c r="B54" s="471">
        <v>33</v>
      </c>
      <c r="C54" s="866" t="s">
        <v>240</v>
      </c>
      <c r="D54" s="760"/>
      <c r="E54" s="763"/>
      <c r="F54" s="760"/>
      <c r="G54" s="761"/>
      <c r="H54" s="759">
        <v>2</v>
      </c>
      <c r="I54" s="767">
        <v>558.9</v>
      </c>
      <c r="J54" s="759"/>
      <c r="K54" s="767"/>
      <c r="L54" s="767">
        <f>10464.7+10152.7</f>
        <v>20617.4</v>
      </c>
      <c r="M54" s="767"/>
      <c r="N54" s="833">
        <f t="shared" si="4"/>
        <v>21176.300000000003</v>
      </c>
    </row>
    <row r="55" spans="1:14" s="481" customFormat="1" ht="22.5" customHeight="1">
      <c r="A55" s="457"/>
      <c r="B55" s="471">
        <v>34</v>
      </c>
      <c r="C55" s="866" t="s">
        <v>244</v>
      </c>
      <c r="D55" s="760"/>
      <c r="E55" s="763"/>
      <c r="F55" s="760">
        <v>2</v>
      </c>
      <c r="G55" s="761">
        <v>212.7</v>
      </c>
      <c r="H55" s="759"/>
      <c r="I55" s="767"/>
      <c r="J55" s="759"/>
      <c r="K55" s="767"/>
      <c r="L55" s="767"/>
      <c r="M55" s="767"/>
      <c r="N55" s="833">
        <f t="shared" si="4"/>
        <v>212.7</v>
      </c>
    </row>
    <row r="56" spans="1:14" s="481" customFormat="1" ht="22.5" customHeight="1">
      <c r="A56" s="457"/>
      <c r="B56" s="471">
        <v>35</v>
      </c>
      <c r="C56" s="866" t="s">
        <v>245</v>
      </c>
      <c r="D56" s="760"/>
      <c r="E56" s="763"/>
      <c r="F56" s="760">
        <v>2</v>
      </c>
      <c r="G56" s="761">
        <v>296.3</v>
      </c>
      <c r="H56" s="759">
        <v>2</v>
      </c>
      <c r="I56" s="767">
        <v>4.5</v>
      </c>
      <c r="J56" s="759"/>
      <c r="K56" s="767"/>
      <c r="L56" s="767"/>
      <c r="M56" s="767"/>
      <c r="N56" s="833">
        <f t="shared" si="4"/>
        <v>300.8</v>
      </c>
    </row>
    <row r="57" spans="1:14" s="481" customFormat="1" ht="22.5" customHeight="1">
      <c r="A57" s="457"/>
      <c r="B57" s="471">
        <v>36</v>
      </c>
      <c r="C57" s="866" t="s">
        <v>283</v>
      </c>
      <c r="D57" s="760"/>
      <c r="E57" s="763"/>
      <c r="F57" s="760">
        <v>3</v>
      </c>
      <c r="G57" s="761">
        <v>429.6</v>
      </c>
      <c r="H57" s="759">
        <v>2</v>
      </c>
      <c r="I57" s="767">
        <v>328.5</v>
      </c>
      <c r="J57" s="759"/>
      <c r="K57" s="767"/>
      <c r="L57" s="767"/>
      <c r="M57" s="767"/>
      <c r="N57" s="833">
        <f t="shared" si="4"/>
        <v>758.1</v>
      </c>
    </row>
    <row r="58" spans="1:14" s="481" customFormat="1" ht="42">
      <c r="A58" s="457"/>
      <c r="B58" s="471">
        <v>37</v>
      </c>
      <c r="C58" s="866" t="s">
        <v>530</v>
      </c>
      <c r="D58" s="760"/>
      <c r="E58" s="763"/>
      <c r="F58" s="760"/>
      <c r="G58" s="761"/>
      <c r="H58" s="759"/>
      <c r="I58" s="767"/>
      <c r="J58" s="759"/>
      <c r="K58" s="767"/>
      <c r="L58" s="767">
        <f>(11000+6782373)/1000+(23461.6/1000)</f>
        <v>6816.834599999999</v>
      </c>
      <c r="M58" s="767"/>
      <c r="N58" s="833">
        <f t="shared" si="4"/>
        <v>6816.834599999999</v>
      </c>
    </row>
    <row r="59" spans="1:14" s="481" customFormat="1" ht="22.5" customHeight="1">
      <c r="A59" s="457"/>
      <c r="B59" s="471">
        <v>38</v>
      </c>
      <c r="C59" s="866" t="s">
        <v>253</v>
      </c>
      <c r="D59" s="760"/>
      <c r="E59" s="763"/>
      <c r="F59" s="760"/>
      <c r="G59" s="761">
        <v>343.1</v>
      </c>
      <c r="H59" s="759"/>
      <c r="I59" s="767"/>
      <c r="J59" s="759"/>
      <c r="K59" s="767"/>
      <c r="L59" s="767"/>
      <c r="M59" s="767"/>
      <c r="N59" s="833">
        <f t="shared" si="4"/>
        <v>343.1</v>
      </c>
    </row>
    <row r="60" spans="1:14" s="481" customFormat="1" ht="22.5" customHeight="1">
      <c r="A60" s="457"/>
      <c r="B60" s="471">
        <v>39</v>
      </c>
      <c r="C60" s="866" t="s">
        <v>532</v>
      </c>
      <c r="D60" s="760"/>
      <c r="E60" s="763"/>
      <c r="F60" s="760"/>
      <c r="G60" s="761"/>
      <c r="H60" s="759">
        <v>2</v>
      </c>
      <c r="I60" s="767">
        <f>3080*1.1/1000</f>
        <v>3.3880000000000003</v>
      </c>
      <c r="J60" s="759"/>
      <c r="K60" s="767"/>
      <c r="L60" s="767"/>
      <c r="M60" s="767"/>
      <c r="N60" s="833">
        <f t="shared" si="4"/>
        <v>3.3880000000000003</v>
      </c>
    </row>
    <row r="61" spans="1:14" s="481" customFormat="1" ht="22.5" customHeight="1">
      <c r="A61" s="457"/>
      <c r="B61" s="471">
        <v>40</v>
      </c>
      <c r="C61" s="866" t="s">
        <v>535</v>
      </c>
      <c r="D61" s="760"/>
      <c r="E61" s="763"/>
      <c r="F61" s="760">
        <v>3</v>
      </c>
      <c r="G61" s="761">
        <f>(137652+125398+125398)*1.1/1000</f>
        <v>427.29280000000006</v>
      </c>
      <c r="H61" s="759"/>
      <c r="I61" s="767"/>
      <c r="J61" s="759"/>
      <c r="K61" s="767"/>
      <c r="L61" s="767"/>
      <c r="M61" s="767"/>
      <c r="N61" s="833">
        <f t="shared" si="4"/>
        <v>427.29280000000006</v>
      </c>
    </row>
    <row r="62" spans="1:14" s="481" customFormat="1" ht="22.5" customHeight="1">
      <c r="A62" s="457"/>
      <c r="B62" s="471">
        <v>41</v>
      </c>
      <c r="C62" s="866" t="s">
        <v>537</v>
      </c>
      <c r="D62" s="760"/>
      <c r="E62" s="763"/>
      <c r="F62" s="760"/>
      <c r="G62" s="761"/>
      <c r="H62" s="759"/>
      <c r="I62" s="767"/>
      <c r="J62" s="759"/>
      <c r="K62" s="767"/>
      <c r="L62" s="767">
        <f>1028655.65/1000</f>
        <v>1028.65565</v>
      </c>
      <c r="M62" s="767"/>
      <c r="N62" s="833">
        <f t="shared" si="4"/>
        <v>1028.65565</v>
      </c>
    </row>
    <row r="63" spans="1:14" s="481" customFormat="1" ht="22.5" customHeight="1">
      <c r="A63" s="457"/>
      <c r="B63" s="471">
        <v>42</v>
      </c>
      <c r="C63" s="866" t="s">
        <v>538</v>
      </c>
      <c r="D63" s="760"/>
      <c r="E63" s="763"/>
      <c r="F63" s="760"/>
      <c r="G63" s="761"/>
      <c r="H63" s="759">
        <v>4</v>
      </c>
      <c r="I63" s="767">
        <f>11000*1.1/100</f>
        <v>121.00000000000001</v>
      </c>
      <c r="J63" s="759"/>
      <c r="K63" s="767"/>
      <c r="L63" s="767"/>
      <c r="M63" s="767"/>
      <c r="N63" s="833">
        <f t="shared" si="4"/>
        <v>121.00000000000001</v>
      </c>
    </row>
    <row r="64" spans="1:14" s="248" customFormat="1" ht="21.75">
      <c r="A64" s="911"/>
      <c r="B64" s="471">
        <v>43</v>
      </c>
      <c r="C64" s="765" t="s">
        <v>365</v>
      </c>
      <c r="D64" s="799"/>
      <c r="E64" s="763"/>
      <c r="F64" s="799">
        <v>6</v>
      </c>
      <c r="G64" s="763">
        <v>552.9</v>
      </c>
      <c r="H64" s="796">
        <v>4</v>
      </c>
      <c r="I64" s="763">
        <v>43.4</v>
      </c>
      <c r="J64" s="796"/>
      <c r="K64" s="763"/>
      <c r="L64" s="763"/>
      <c r="M64" s="763"/>
      <c r="N64" s="833">
        <f t="shared" si="4"/>
        <v>596.3</v>
      </c>
    </row>
    <row r="65" spans="1:14" s="481" customFormat="1" ht="60.75">
      <c r="A65" s="455" t="s">
        <v>182</v>
      </c>
      <c r="B65" s="471">
        <v>44</v>
      </c>
      <c r="C65" s="483" t="s">
        <v>190</v>
      </c>
      <c r="D65" s="760">
        <f>20+15</f>
        <v>35</v>
      </c>
      <c r="E65" s="763">
        <v>18314.7</v>
      </c>
      <c r="F65" s="760"/>
      <c r="G65" s="761"/>
      <c r="H65" s="759">
        <f>5+1</f>
        <v>6</v>
      </c>
      <c r="I65" s="767">
        <v>2152.4</v>
      </c>
      <c r="J65" s="759"/>
      <c r="K65" s="767"/>
      <c r="L65" s="863"/>
      <c r="M65" s="767"/>
      <c r="N65" s="833">
        <f t="shared" si="4"/>
        <v>20467.100000000002</v>
      </c>
    </row>
    <row r="66" spans="1:14" s="481" customFormat="1" ht="42">
      <c r="A66" s="455"/>
      <c r="B66" s="471">
        <v>45</v>
      </c>
      <c r="C66" s="484" t="s">
        <v>534</v>
      </c>
      <c r="D66" s="760">
        <v>20</v>
      </c>
      <c r="E66" s="763">
        <v>1537.9</v>
      </c>
      <c r="F66" s="760"/>
      <c r="G66" s="761"/>
      <c r="H66" s="759"/>
      <c r="I66" s="767"/>
      <c r="J66" s="759"/>
      <c r="K66" s="767"/>
      <c r="L66" s="863"/>
      <c r="M66" s="767"/>
      <c r="N66" s="833">
        <f t="shared" si="4"/>
        <v>1537.9</v>
      </c>
    </row>
    <row r="67" spans="1:14" s="481" customFormat="1" ht="39.75" customHeight="1">
      <c r="A67" s="911" t="s">
        <v>217</v>
      </c>
      <c r="B67" s="471">
        <v>46</v>
      </c>
      <c r="C67" s="484" t="s">
        <v>533</v>
      </c>
      <c r="D67" s="760"/>
      <c r="E67" s="1075"/>
      <c r="F67" s="760"/>
      <c r="G67" s="761"/>
      <c r="H67" s="759">
        <v>11</v>
      </c>
      <c r="I67" s="767">
        <v>265.9</v>
      </c>
      <c r="J67" s="759"/>
      <c r="K67" s="767"/>
      <c r="L67" s="863">
        <v>2192.7</v>
      </c>
      <c r="M67" s="767"/>
      <c r="N67" s="833">
        <f t="shared" si="4"/>
        <v>2458.6</v>
      </c>
    </row>
    <row r="68" spans="1:14" s="481" customFormat="1" ht="21.75">
      <c r="A68" s="457"/>
      <c r="B68" s="471">
        <v>47</v>
      </c>
      <c r="C68" s="484" t="s">
        <v>536</v>
      </c>
      <c r="D68" s="760">
        <v>64</v>
      </c>
      <c r="E68" s="763">
        <v>810.5</v>
      </c>
      <c r="F68" s="760"/>
      <c r="G68" s="761"/>
      <c r="H68" s="759"/>
      <c r="I68" s="767"/>
      <c r="J68" s="759"/>
      <c r="K68" s="767"/>
      <c r="L68" s="863"/>
      <c r="M68" s="767"/>
      <c r="N68" s="833">
        <f t="shared" si="4"/>
        <v>810.5</v>
      </c>
    </row>
    <row r="69" spans="1:14" s="481" customFormat="1" ht="24" customHeight="1">
      <c r="A69" s="457" t="s">
        <v>140</v>
      </c>
      <c r="B69" s="471">
        <v>48</v>
      </c>
      <c r="C69" s="490" t="s">
        <v>169</v>
      </c>
      <c r="D69" s="760"/>
      <c r="E69" s="761"/>
      <c r="F69" s="760"/>
      <c r="G69" s="761">
        <v>598.6</v>
      </c>
      <c r="H69" s="759"/>
      <c r="I69" s="767"/>
      <c r="J69" s="759"/>
      <c r="K69" s="767"/>
      <c r="L69" s="767"/>
      <c r="M69" s="767"/>
      <c r="N69" s="833">
        <f t="shared" si="4"/>
        <v>598.6</v>
      </c>
    </row>
    <row r="70" spans="1:14" s="248" customFormat="1" ht="21.75">
      <c r="A70" s="483"/>
      <c r="B70" s="471">
        <v>49</v>
      </c>
      <c r="C70" s="765" t="s">
        <v>241</v>
      </c>
      <c r="D70" s="799">
        <v>20</v>
      </c>
      <c r="E70" s="763">
        <v>1760.9</v>
      </c>
      <c r="F70" s="799"/>
      <c r="G70" s="763"/>
      <c r="H70" s="796">
        <v>6</v>
      </c>
      <c r="I70" s="763">
        <v>390.8</v>
      </c>
      <c r="J70" s="796"/>
      <c r="K70" s="763"/>
      <c r="L70" s="763"/>
      <c r="M70" s="763"/>
      <c r="N70" s="833">
        <f t="shared" si="4"/>
        <v>2151.7000000000003</v>
      </c>
    </row>
    <row r="71" spans="1:14" s="248" customFormat="1" ht="21.75">
      <c r="A71" s="483"/>
      <c r="B71" s="471">
        <v>50</v>
      </c>
      <c r="C71" s="765" t="s">
        <v>216</v>
      </c>
      <c r="D71" s="799"/>
      <c r="E71" s="763"/>
      <c r="F71" s="799"/>
      <c r="G71" s="763"/>
      <c r="H71" s="796">
        <v>5</v>
      </c>
      <c r="I71" s="763">
        <v>241.9</v>
      </c>
      <c r="J71" s="796"/>
      <c r="K71" s="763"/>
      <c r="L71" s="763">
        <v>7362.7</v>
      </c>
      <c r="M71" s="763"/>
      <c r="N71" s="833">
        <f t="shared" si="4"/>
        <v>7604.599999999999</v>
      </c>
    </row>
    <row r="72" spans="1:14" s="493" customFormat="1" ht="21.75">
      <c r="A72" s="494"/>
      <c r="B72" s="504"/>
      <c r="C72" s="466" t="s">
        <v>97</v>
      </c>
      <c r="D72" s="468">
        <f>SUM(D38:D71)</f>
        <v>454</v>
      </c>
      <c r="E72" s="467">
        <f aca="true" t="shared" si="5" ref="E72:M72">SUM(E38:E71)</f>
        <v>36831.200000000004</v>
      </c>
      <c r="F72" s="468">
        <f t="shared" si="5"/>
        <v>23</v>
      </c>
      <c r="G72" s="467">
        <f t="shared" si="5"/>
        <v>12734.092799999999</v>
      </c>
      <c r="H72" s="468">
        <f t="shared" si="5"/>
        <v>77</v>
      </c>
      <c r="I72" s="467">
        <f t="shared" si="5"/>
        <v>5953.687999999999</v>
      </c>
      <c r="J72" s="468">
        <f t="shared" si="5"/>
        <v>0</v>
      </c>
      <c r="K72" s="468">
        <f t="shared" si="5"/>
        <v>0</v>
      </c>
      <c r="L72" s="467">
        <f t="shared" si="5"/>
        <v>47078.29025</v>
      </c>
      <c r="M72" s="468">
        <f t="shared" si="5"/>
        <v>0</v>
      </c>
      <c r="N72" s="467">
        <f>SUM(N38:N71)</f>
        <v>102597.27105000001</v>
      </c>
    </row>
    <row r="73" spans="1:14" s="941" customFormat="1" ht="21">
      <c r="A73" s="454" t="s">
        <v>317</v>
      </c>
      <c r="B73" s="938"/>
      <c r="C73" s="454" t="s">
        <v>96</v>
      </c>
      <c r="D73" s="939"/>
      <c r="E73" s="473"/>
      <c r="F73" s="939"/>
      <c r="G73" s="473"/>
      <c r="H73" s="940"/>
      <c r="I73" s="473"/>
      <c r="J73" s="940"/>
      <c r="K73" s="473"/>
      <c r="L73" s="473"/>
      <c r="M73" s="473"/>
      <c r="N73" s="470"/>
    </row>
    <row r="74" spans="1:14" s="928" customFormat="1" ht="21.75" customHeight="1">
      <c r="A74" s="455" t="s">
        <v>139</v>
      </c>
      <c r="B74" s="933">
        <v>51</v>
      </c>
      <c r="C74" s="764" t="s">
        <v>546</v>
      </c>
      <c r="D74" s="805">
        <v>10</v>
      </c>
      <c r="E74" s="769">
        <v>189.7</v>
      </c>
      <c r="F74" s="805"/>
      <c r="G74" s="769"/>
      <c r="H74" s="801"/>
      <c r="I74" s="769"/>
      <c r="J74" s="801"/>
      <c r="K74" s="769"/>
      <c r="L74" s="927"/>
      <c r="M74" s="927"/>
      <c r="N74" s="833">
        <f>SUM(E74,G74,I74,L74,K74,M74)</f>
        <v>189.7</v>
      </c>
    </row>
    <row r="75" spans="1:14" s="917" customFormat="1" ht="21.75">
      <c r="A75" s="494"/>
      <c r="B75" s="918"/>
      <c r="C75" s="466" t="s">
        <v>97</v>
      </c>
      <c r="D75" s="468">
        <f>SUM(D74)</f>
        <v>10</v>
      </c>
      <c r="E75" s="467">
        <f>SUM(E74)</f>
        <v>189.7</v>
      </c>
      <c r="F75" s="468"/>
      <c r="G75" s="468"/>
      <c r="H75" s="468"/>
      <c r="I75" s="467"/>
      <c r="J75" s="468"/>
      <c r="K75" s="467"/>
      <c r="L75" s="468"/>
      <c r="M75" s="468"/>
      <c r="N75" s="920">
        <f>SUM(N74:N74)</f>
        <v>189.7</v>
      </c>
    </row>
    <row r="76" spans="1:14" s="941" customFormat="1" ht="21">
      <c r="A76" s="454" t="s">
        <v>311</v>
      </c>
      <c r="B76" s="938"/>
      <c r="C76" s="454" t="s">
        <v>96</v>
      </c>
      <c r="D76" s="939"/>
      <c r="E76" s="473"/>
      <c r="F76" s="939"/>
      <c r="G76" s="473"/>
      <c r="H76" s="940"/>
      <c r="I76" s="473"/>
      <c r="J76" s="940"/>
      <c r="K76" s="473"/>
      <c r="L76" s="473"/>
      <c r="M76" s="473"/>
      <c r="N76" s="470"/>
    </row>
    <row r="77" spans="1:14" s="928" customFormat="1" ht="21.75">
      <c r="A77" s="455" t="s">
        <v>141</v>
      </c>
      <c r="B77" s="933">
        <v>52</v>
      </c>
      <c r="C77" s="764" t="s">
        <v>312</v>
      </c>
      <c r="D77" s="805"/>
      <c r="E77" s="769"/>
      <c r="F77" s="805">
        <v>0</v>
      </c>
      <c r="G77" s="769">
        <v>187.5</v>
      </c>
      <c r="H77" s="801"/>
      <c r="I77" s="769"/>
      <c r="J77" s="801"/>
      <c r="K77" s="769"/>
      <c r="L77" s="927"/>
      <c r="M77" s="927"/>
      <c r="N77" s="833">
        <f>SUM(E77,G77,I77,L77,K77,M77)</f>
        <v>187.5</v>
      </c>
    </row>
    <row r="78" spans="1:14" s="917" customFormat="1" ht="21.75">
      <c r="A78" s="494"/>
      <c r="B78" s="918"/>
      <c r="C78" s="466" t="s">
        <v>97</v>
      </c>
      <c r="D78" s="468"/>
      <c r="E78" s="467"/>
      <c r="F78" s="1088">
        <v>0</v>
      </c>
      <c r="G78" s="467">
        <f>SUM(G77)</f>
        <v>187.5</v>
      </c>
      <c r="H78" s="468"/>
      <c r="I78" s="467"/>
      <c r="J78" s="468"/>
      <c r="K78" s="467"/>
      <c r="L78" s="468"/>
      <c r="M78" s="468"/>
      <c r="N78" s="920">
        <f>SUM(N77:N77)</f>
        <v>187.5</v>
      </c>
    </row>
    <row r="79" spans="1:14" s="481" customFormat="1" ht="21.75">
      <c r="A79" s="454" t="s">
        <v>221</v>
      </c>
      <c r="B79" s="465"/>
      <c r="C79" s="469" t="s">
        <v>96</v>
      </c>
      <c r="D79" s="475"/>
      <c r="E79" s="476"/>
      <c r="F79" s="475"/>
      <c r="G79" s="476"/>
      <c r="H79" s="477"/>
      <c r="I79" s="476"/>
      <c r="J79" s="477"/>
      <c r="K79" s="476"/>
      <c r="L79" s="476"/>
      <c r="M79" s="476"/>
      <c r="N79" s="482"/>
    </row>
    <row r="80" spans="1:14" s="483" customFormat="1" ht="21.75">
      <c r="A80" s="455" t="s">
        <v>141</v>
      </c>
      <c r="B80" s="465">
        <v>53</v>
      </c>
      <c r="C80" s="764" t="s">
        <v>575</v>
      </c>
      <c r="D80" s="799"/>
      <c r="E80" s="763"/>
      <c r="F80" s="799"/>
      <c r="G80" s="763"/>
      <c r="H80" s="801">
        <v>4</v>
      </c>
      <c r="I80" s="769">
        <v>174.3</v>
      </c>
      <c r="J80" s="801"/>
      <c r="K80" s="769"/>
      <c r="L80" s="763"/>
      <c r="M80" s="763"/>
      <c r="N80" s="833">
        <f aca="true" t="shared" si="6" ref="N80:N92">SUM(E80,G80,I80,L80,K80,M80)</f>
        <v>174.3</v>
      </c>
    </row>
    <row r="81" spans="1:14" s="483" customFormat="1" ht="21.75">
      <c r="A81" s="455"/>
      <c r="B81" s="465">
        <v>54</v>
      </c>
      <c r="C81" s="764" t="s">
        <v>249</v>
      </c>
      <c r="D81" s="799"/>
      <c r="E81" s="763"/>
      <c r="F81" s="799"/>
      <c r="G81" s="763"/>
      <c r="H81" s="801"/>
      <c r="I81" s="769"/>
      <c r="J81" s="801"/>
      <c r="K81" s="769"/>
      <c r="L81" s="763">
        <v>235</v>
      </c>
      <c r="M81" s="763"/>
      <c r="N81" s="833">
        <f t="shared" si="6"/>
        <v>235</v>
      </c>
    </row>
    <row r="82" spans="1:14" s="481" customFormat="1" ht="42">
      <c r="A82" s="456" t="s">
        <v>139</v>
      </c>
      <c r="B82" s="465">
        <v>55</v>
      </c>
      <c r="C82" s="556" t="s">
        <v>156</v>
      </c>
      <c r="D82" s="799">
        <v>29</v>
      </c>
      <c r="E82" s="763">
        <v>1884.4</v>
      </c>
      <c r="F82" s="799"/>
      <c r="G82" s="763">
        <v>225.5</v>
      </c>
      <c r="H82" s="796">
        <v>5</v>
      </c>
      <c r="I82" s="763">
        <v>1613.8</v>
      </c>
      <c r="J82" s="796"/>
      <c r="K82" s="763"/>
      <c r="L82" s="763">
        <v>205.7</v>
      </c>
      <c r="M82" s="472"/>
      <c r="N82" s="833">
        <f t="shared" si="6"/>
        <v>3929.3999999999996</v>
      </c>
    </row>
    <row r="83" spans="1:14" s="481" customFormat="1" ht="42">
      <c r="A83" s="456"/>
      <c r="B83" s="465">
        <v>56</v>
      </c>
      <c r="C83" s="556" t="s">
        <v>576</v>
      </c>
      <c r="D83" s="799"/>
      <c r="E83" s="763"/>
      <c r="F83" s="799"/>
      <c r="G83" s="763"/>
      <c r="H83" s="796">
        <v>6</v>
      </c>
      <c r="I83" s="763">
        <v>153.6</v>
      </c>
      <c r="J83" s="796"/>
      <c r="K83" s="763"/>
      <c r="L83" s="763"/>
      <c r="M83" s="472"/>
      <c r="N83" s="833">
        <f t="shared" si="6"/>
        <v>153.6</v>
      </c>
    </row>
    <row r="84" spans="1:14" s="481" customFormat="1" ht="63">
      <c r="A84" s="455" t="s">
        <v>182</v>
      </c>
      <c r="B84" s="465">
        <v>57</v>
      </c>
      <c r="C84" s="764" t="s">
        <v>542</v>
      </c>
      <c r="D84" s="799">
        <v>4</v>
      </c>
      <c r="E84" s="763">
        <v>68.3</v>
      </c>
      <c r="F84" s="799">
        <v>2</v>
      </c>
      <c r="G84" s="763">
        <v>1222.2</v>
      </c>
      <c r="H84" s="801">
        <v>7</v>
      </c>
      <c r="I84" s="769">
        <v>385.4</v>
      </c>
      <c r="J84" s="801"/>
      <c r="K84" s="769"/>
      <c r="L84" s="763"/>
      <c r="M84" s="763">
        <v>191.9</v>
      </c>
      <c r="N84" s="833">
        <f t="shared" si="6"/>
        <v>1867.8000000000002</v>
      </c>
    </row>
    <row r="85" spans="1:14" s="481" customFormat="1" ht="61.5">
      <c r="A85" s="911" t="s">
        <v>162</v>
      </c>
      <c r="B85" s="471">
        <v>58</v>
      </c>
      <c r="C85" s="1084" t="s">
        <v>572</v>
      </c>
      <c r="D85" s="760"/>
      <c r="E85" s="761"/>
      <c r="F85" s="760"/>
      <c r="G85" s="761"/>
      <c r="H85" s="759"/>
      <c r="I85" s="767"/>
      <c r="J85" s="759"/>
      <c r="K85" s="767"/>
      <c r="L85" s="767"/>
      <c r="M85" s="767"/>
      <c r="N85" s="833"/>
    </row>
    <row r="86" spans="1:14" s="481" customFormat="1" ht="21.75">
      <c r="A86" s="911"/>
      <c r="B86" s="1085">
        <v>58.1</v>
      </c>
      <c r="C86" s="770" t="s">
        <v>573</v>
      </c>
      <c r="D86" s="760"/>
      <c r="E86" s="761"/>
      <c r="F86" s="760"/>
      <c r="G86" s="761"/>
      <c r="H86" s="759">
        <v>1</v>
      </c>
      <c r="I86" s="767">
        <v>28.7</v>
      </c>
      <c r="J86" s="759">
        <v>1</v>
      </c>
      <c r="K86" s="767">
        <v>15.7</v>
      </c>
      <c r="L86" s="767"/>
      <c r="M86" s="767"/>
      <c r="N86" s="833">
        <f t="shared" si="6"/>
        <v>44.4</v>
      </c>
    </row>
    <row r="87" spans="1:14" s="481" customFormat="1" ht="21.75">
      <c r="A87" s="911"/>
      <c r="B87" s="471"/>
      <c r="C87" s="770" t="s">
        <v>566</v>
      </c>
      <c r="D87" s="760">
        <f>29+12</f>
        <v>41</v>
      </c>
      <c r="E87" s="761">
        <v>2006.7</v>
      </c>
      <c r="F87" s="760"/>
      <c r="G87" s="761"/>
      <c r="H87" s="759">
        <v>3</v>
      </c>
      <c r="I87" s="767">
        <v>75.5</v>
      </c>
      <c r="J87" s="759"/>
      <c r="K87" s="767"/>
      <c r="L87" s="767">
        <v>2167.8</v>
      </c>
      <c r="M87" s="767"/>
      <c r="N87" s="833">
        <f t="shared" si="6"/>
        <v>4250</v>
      </c>
    </row>
    <row r="88" spans="1:14" s="481" customFormat="1" ht="21.75">
      <c r="A88" s="911"/>
      <c r="B88" s="471"/>
      <c r="C88" s="770" t="s">
        <v>583</v>
      </c>
      <c r="D88" s="760">
        <v>27</v>
      </c>
      <c r="E88" s="761">
        <v>431.6</v>
      </c>
      <c r="F88" s="760"/>
      <c r="G88" s="761"/>
      <c r="H88" s="759"/>
      <c r="I88" s="767"/>
      <c r="J88" s="759"/>
      <c r="K88" s="767"/>
      <c r="L88" s="767"/>
      <c r="M88" s="767"/>
      <c r="N88" s="833">
        <f t="shared" si="6"/>
        <v>431.6</v>
      </c>
    </row>
    <row r="89" spans="1:14" s="481" customFormat="1" ht="42">
      <c r="A89" s="911"/>
      <c r="B89" s="1085">
        <v>58.2</v>
      </c>
      <c r="C89" s="770" t="s">
        <v>574</v>
      </c>
      <c r="D89" s="760"/>
      <c r="E89" s="761"/>
      <c r="F89" s="760"/>
      <c r="G89" s="761"/>
      <c r="H89" s="759">
        <v>9</v>
      </c>
      <c r="I89" s="767">
        <v>182</v>
      </c>
      <c r="J89" s="759"/>
      <c r="K89" s="767"/>
      <c r="L89" s="767"/>
      <c r="M89" s="767"/>
      <c r="N89" s="833">
        <f t="shared" si="6"/>
        <v>182</v>
      </c>
    </row>
    <row r="90" spans="1:14" s="481" customFormat="1" ht="21.75">
      <c r="A90" s="911"/>
      <c r="B90" s="471"/>
      <c r="C90" s="770" t="s">
        <v>571</v>
      </c>
      <c r="D90" s="760"/>
      <c r="E90" s="761"/>
      <c r="F90" s="760">
        <v>8</v>
      </c>
      <c r="G90" s="761">
        <v>2859.3</v>
      </c>
      <c r="H90" s="759"/>
      <c r="I90" s="767"/>
      <c r="J90" s="759"/>
      <c r="K90" s="767"/>
      <c r="L90" s="767"/>
      <c r="M90" s="767"/>
      <c r="N90" s="833">
        <f t="shared" si="6"/>
        <v>2859.3</v>
      </c>
    </row>
    <row r="91" spans="1:14" s="481" customFormat="1" ht="63">
      <c r="A91" s="911"/>
      <c r="B91" s="471"/>
      <c r="C91" s="770" t="s">
        <v>584</v>
      </c>
      <c r="D91" s="760">
        <v>6</v>
      </c>
      <c r="E91" s="761">
        <v>1242.3</v>
      </c>
      <c r="F91" s="760"/>
      <c r="G91" s="761"/>
      <c r="H91" s="759"/>
      <c r="I91" s="767"/>
      <c r="J91" s="759"/>
      <c r="K91" s="767"/>
      <c r="L91" s="767"/>
      <c r="M91" s="767"/>
      <c r="N91" s="833">
        <f t="shared" si="6"/>
        <v>1242.3</v>
      </c>
    </row>
    <row r="92" spans="1:14" s="481" customFormat="1" ht="21.75">
      <c r="A92" s="911"/>
      <c r="B92" s="471"/>
      <c r="C92" s="770" t="s">
        <v>585</v>
      </c>
      <c r="D92" s="760">
        <v>10</v>
      </c>
      <c r="E92" s="761">
        <v>637.5</v>
      </c>
      <c r="F92" s="760"/>
      <c r="G92" s="761"/>
      <c r="H92" s="759"/>
      <c r="I92" s="767"/>
      <c r="J92" s="759"/>
      <c r="K92" s="767"/>
      <c r="L92" s="767"/>
      <c r="M92" s="767"/>
      <c r="N92" s="833">
        <f t="shared" si="6"/>
        <v>637.5</v>
      </c>
    </row>
    <row r="93" spans="1:14" s="493" customFormat="1" ht="21.75">
      <c r="A93" s="501"/>
      <c r="B93" s="504"/>
      <c r="C93" s="466" t="s">
        <v>97</v>
      </c>
      <c r="D93" s="468">
        <f>SUM(D80:D92)</f>
        <v>117</v>
      </c>
      <c r="E93" s="467">
        <f aca="true" t="shared" si="7" ref="E93:M93">SUM(E80:E92)</f>
        <v>6270.8</v>
      </c>
      <c r="F93" s="468">
        <f t="shared" si="7"/>
        <v>10</v>
      </c>
      <c r="G93" s="467">
        <f t="shared" si="7"/>
        <v>4307</v>
      </c>
      <c r="H93" s="468">
        <f t="shared" si="7"/>
        <v>35</v>
      </c>
      <c r="I93" s="467">
        <f t="shared" si="7"/>
        <v>2613.2999999999997</v>
      </c>
      <c r="J93" s="468">
        <f t="shared" si="7"/>
        <v>1</v>
      </c>
      <c r="K93" s="467">
        <f t="shared" si="7"/>
        <v>15.7</v>
      </c>
      <c r="L93" s="467">
        <f t="shared" si="7"/>
        <v>2608.5</v>
      </c>
      <c r="M93" s="467">
        <f t="shared" si="7"/>
        <v>191.9</v>
      </c>
      <c r="N93" s="467">
        <f>SUM(N80:N92)</f>
        <v>16007.2</v>
      </c>
    </row>
    <row r="94" spans="1:14" s="917" customFormat="1" ht="21.75">
      <c r="A94" s="469" t="s">
        <v>328</v>
      </c>
      <c r="B94" s="916"/>
      <c r="C94" s="454" t="s">
        <v>95</v>
      </c>
      <c r="D94" s="913"/>
      <c r="E94" s="464"/>
      <c r="F94" s="913"/>
      <c r="G94" s="464"/>
      <c r="H94" s="923"/>
      <c r="I94" s="464"/>
      <c r="J94" s="923"/>
      <c r="K94" s="464"/>
      <c r="L94" s="464"/>
      <c r="M94" s="464"/>
      <c r="N94" s="464"/>
    </row>
    <row r="95" spans="1:14" s="917" customFormat="1" ht="21.75">
      <c r="A95" s="455" t="s">
        <v>139</v>
      </c>
      <c r="B95" s="916">
        <v>59</v>
      </c>
      <c r="C95" s="764" t="s">
        <v>568</v>
      </c>
      <c r="D95" s="805">
        <v>8</v>
      </c>
      <c r="E95" s="769">
        <v>186.3</v>
      </c>
      <c r="F95" s="913"/>
      <c r="G95" s="464"/>
      <c r="H95" s="802"/>
      <c r="I95" s="800"/>
      <c r="J95" s="802"/>
      <c r="K95" s="800"/>
      <c r="L95" s="800"/>
      <c r="M95" s="464"/>
      <c r="N95" s="833">
        <f>SUM(E95,G95,I95,L95,M95)</f>
        <v>186.3</v>
      </c>
    </row>
    <row r="96" spans="1:14" s="917" customFormat="1" ht="21.75">
      <c r="A96" s="494"/>
      <c r="B96" s="918"/>
      <c r="C96" s="466" t="s">
        <v>97</v>
      </c>
      <c r="D96" s="1089">
        <f>SUM(D95)</f>
        <v>8</v>
      </c>
      <c r="E96" s="1090">
        <f>SUM(E95)</f>
        <v>186.3</v>
      </c>
      <c r="F96" s="468"/>
      <c r="G96" s="468"/>
      <c r="H96" s="468"/>
      <c r="I96" s="467"/>
      <c r="J96" s="468"/>
      <c r="K96" s="467"/>
      <c r="L96" s="467"/>
      <c r="M96" s="468"/>
      <c r="N96" s="467">
        <f>SUM(N95:N95)</f>
        <v>186.3</v>
      </c>
    </row>
    <row r="97" spans="1:14" s="917" customFormat="1" ht="21.75">
      <c r="A97" s="469" t="s">
        <v>554</v>
      </c>
      <c r="B97" s="916"/>
      <c r="C97" s="454" t="s">
        <v>96</v>
      </c>
      <c r="D97" s="913"/>
      <c r="E97" s="464"/>
      <c r="F97" s="913"/>
      <c r="G97" s="464"/>
      <c r="H97" s="923"/>
      <c r="I97" s="464"/>
      <c r="J97" s="923"/>
      <c r="K97" s="464"/>
      <c r="L97" s="464"/>
      <c r="M97" s="464"/>
      <c r="N97" s="464"/>
    </row>
    <row r="98" spans="1:14" s="917" customFormat="1" ht="21.75">
      <c r="A98" s="455" t="s">
        <v>559</v>
      </c>
      <c r="B98" s="916">
        <v>60</v>
      </c>
      <c r="C98" s="868" t="s">
        <v>560</v>
      </c>
      <c r="D98" s="1091"/>
      <c r="E98" s="1092"/>
      <c r="F98" s="913"/>
      <c r="G98" s="464"/>
      <c r="H98" s="802">
        <v>6</v>
      </c>
      <c r="I98" s="800">
        <v>1093.9</v>
      </c>
      <c r="J98" s="923"/>
      <c r="K98" s="464"/>
      <c r="L98" s="464"/>
      <c r="M98" s="464"/>
      <c r="N98" s="833">
        <f>SUM(E98,G98,I98,L98,M98)</f>
        <v>1093.9</v>
      </c>
    </row>
    <row r="99" spans="1:14" s="917" customFormat="1" ht="40.5">
      <c r="A99" s="455" t="s">
        <v>140</v>
      </c>
      <c r="B99" s="916">
        <v>61</v>
      </c>
      <c r="C99" s="764" t="s">
        <v>555</v>
      </c>
      <c r="D99" s="1097">
        <v>7</v>
      </c>
      <c r="E99" s="1098">
        <v>2173.1</v>
      </c>
      <c r="F99" s="913"/>
      <c r="G99" s="464"/>
      <c r="H99" s="802"/>
      <c r="I99" s="800"/>
      <c r="J99" s="802"/>
      <c r="K99" s="800"/>
      <c r="L99" s="800"/>
      <c r="M99" s="464"/>
      <c r="N99" s="833">
        <f>SUM(E99,G99,I99,L99,M99)</f>
        <v>2173.1</v>
      </c>
    </row>
    <row r="100" spans="1:14" s="917" customFormat="1" ht="21.75">
      <c r="A100" s="494"/>
      <c r="B100" s="918"/>
      <c r="C100" s="466" t="s">
        <v>97</v>
      </c>
      <c r="D100" s="468">
        <f>SUM(D99)</f>
        <v>7</v>
      </c>
      <c r="E100" s="467">
        <f>SUM(E99)</f>
        <v>2173.1</v>
      </c>
      <c r="F100" s="468"/>
      <c r="G100" s="468"/>
      <c r="H100" s="1089">
        <f>SUM(H98:H99)</f>
        <v>6</v>
      </c>
      <c r="I100" s="467">
        <f>SUM(I98:I99)</f>
        <v>1093.9</v>
      </c>
      <c r="J100" s="468"/>
      <c r="K100" s="467"/>
      <c r="L100" s="467"/>
      <c r="M100" s="468"/>
      <c r="N100" s="467">
        <f>SUM(N98:N99)</f>
        <v>3267</v>
      </c>
    </row>
    <row r="101" spans="1:14" s="917" customFormat="1" ht="21.75">
      <c r="A101" s="1093" t="s">
        <v>561</v>
      </c>
      <c r="B101" s="916"/>
      <c r="C101" s="454" t="s">
        <v>96</v>
      </c>
      <c r="D101" s="913"/>
      <c r="E101" s="464"/>
      <c r="F101" s="913"/>
      <c r="G101" s="464"/>
      <c r="H101" s="923"/>
      <c r="I101" s="464"/>
      <c r="J101" s="923"/>
      <c r="K101" s="464"/>
      <c r="L101" s="464"/>
      <c r="M101" s="464"/>
      <c r="N101" s="464"/>
    </row>
    <row r="102" spans="1:14" s="917" customFormat="1" ht="21.75">
      <c r="A102" s="455" t="s">
        <v>141</v>
      </c>
      <c r="B102" s="916">
        <v>62</v>
      </c>
      <c r="C102" s="1094" t="s">
        <v>562</v>
      </c>
      <c r="D102" s="913"/>
      <c r="E102" s="464"/>
      <c r="F102" s="913"/>
      <c r="G102" s="464"/>
      <c r="H102" s="802">
        <v>6</v>
      </c>
      <c r="I102" s="800">
        <v>1268.1</v>
      </c>
      <c r="J102" s="923"/>
      <c r="K102" s="464"/>
      <c r="L102" s="464"/>
      <c r="M102" s="464"/>
      <c r="N102" s="833">
        <f>SUM(E102,G102,I102,L102,M102)</f>
        <v>1268.1</v>
      </c>
    </row>
    <row r="103" spans="1:14" s="917" customFormat="1" ht="21.75">
      <c r="A103" s="494"/>
      <c r="B103" s="918"/>
      <c r="C103" s="466" t="s">
        <v>97</v>
      </c>
      <c r="D103" s="468"/>
      <c r="E103" s="467"/>
      <c r="F103" s="468"/>
      <c r="G103" s="468"/>
      <c r="H103" s="1089">
        <f>SUM(H102)</f>
        <v>6</v>
      </c>
      <c r="I103" s="467">
        <f>SUM(I102)</f>
        <v>1268.1</v>
      </c>
      <c r="J103" s="468"/>
      <c r="K103" s="467"/>
      <c r="L103" s="467"/>
      <c r="M103" s="468"/>
      <c r="N103" s="467">
        <f>SUM(N102)</f>
        <v>1268.1</v>
      </c>
    </row>
    <row r="104" spans="1:14" s="917" customFormat="1" ht="21.75">
      <c r="A104" s="1093" t="s">
        <v>314</v>
      </c>
      <c r="B104" s="922"/>
      <c r="C104" s="454" t="s">
        <v>95</v>
      </c>
      <c r="D104" s="943"/>
      <c r="E104" s="944"/>
      <c r="F104" s="943"/>
      <c r="G104" s="944"/>
      <c r="H104" s="945"/>
      <c r="I104" s="944"/>
      <c r="J104" s="945"/>
      <c r="K104" s="944"/>
      <c r="L104" s="944"/>
      <c r="M104" s="944"/>
      <c r="N104" s="473"/>
    </row>
    <row r="105" spans="1:14" s="917" customFormat="1" ht="21.75">
      <c r="A105" s="455" t="s">
        <v>139</v>
      </c>
      <c r="B105" s="916">
        <v>63</v>
      </c>
      <c r="C105" s="764" t="s">
        <v>568</v>
      </c>
      <c r="D105" s="1082">
        <v>11</v>
      </c>
      <c r="E105" s="776">
        <v>592.3</v>
      </c>
      <c r="F105" s="1082"/>
      <c r="G105" s="776"/>
      <c r="H105" s="1083"/>
      <c r="I105" s="776"/>
      <c r="J105" s="1083"/>
      <c r="K105" s="776"/>
      <c r="L105" s="776"/>
      <c r="M105" s="776"/>
      <c r="N105" s="833">
        <f>SUM(E105,G105,I105,K105,L105,M105)</f>
        <v>592.3</v>
      </c>
    </row>
    <row r="106" spans="1:14" s="928" customFormat="1" ht="42">
      <c r="A106" s="455" t="s">
        <v>315</v>
      </c>
      <c r="B106" s="933">
        <v>64</v>
      </c>
      <c r="C106" s="764" t="s">
        <v>316</v>
      </c>
      <c r="D106" s="799"/>
      <c r="E106" s="763"/>
      <c r="F106" s="924"/>
      <c r="G106" s="800"/>
      <c r="H106" s="799"/>
      <c r="I106" s="763"/>
      <c r="J106" s="799"/>
      <c r="K106" s="763">
        <v>257.6</v>
      </c>
      <c r="L106" s="763"/>
      <c r="M106" s="800"/>
      <c r="N106" s="833">
        <f>SUM(E106,G106,I106,K106,L106,M106)</f>
        <v>257.6</v>
      </c>
    </row>
    <row r="107" spans="1:14" s="917" customFormat="1" ht="21.75">
      <c r="A107" s="494"/>
      <c r="B107" s="918"/>
      <c r="C107" s="466" t="s">
        <v>97</v>
      </c>
      <c r="D107" s="468">
        <f>SUM(D105:D106)</f>
        <v>11</v>
      </c>
      <c r="E107" s="467">
        <f aca="true" t="shared" si="8" ref="E107:M107">SUM(E105:E106)</f>
        <v>592.3</v>
      </c>
      <c r="F107" s="468">
        <f t="shared" si="8"/>
        <v>0</v>
      </c>
      <c r="G107" s="468">
        <f t="shared" si="8"/>
        <v>0</v>
      </c>
      <c r="H107" s="468">
        <f t="shared" si="8"/>
        <v>0</v>
      </c>
      <c r="I107" s="468">
        <f t="shared" si="8"/>
        <v>0</v>
      </c>
      <c r="J107" s="468">
        <f t="shared" si="8"/>
        <v>0</v>
      </c>
      <c r="K107" s="467">
        <f t="shared" si="8"/>
        <v>257.6</v>
      </c>
      <c r="L107" s="468">
        <f t="shared" si="8"/>
        <v>0</v>
      </c>
      <c r="M107" s="468">
        <f t="shared" si="8"/>
        <v>0</v>
      </c>
      <c r="N107" s="467">
        <f>SUM(N105:N106)</f>
        <v>849.9</v>
      </c>
    </row>
    <row r="108" spans="1:14" s="917" customFormat="1" ht="21.75">
      <c r="A108" s="1095" t="s">
        <v>319</v>
      </c>
      <c r="B108" s="922"/>
      <c r="C108" s="942" t="s">
        <v>313</v>
      </c>
      <c r="D108" s="495"/>
      <c r="E108" s="470"/>
      <c r="F108" s="495"/>
      <c r="G108" s="470"/>
      <c r="H108" s="496"/>
      <c r="I108" s="470"/>
      <c r="J108" s="496"/>
      <c r="K108" s="470"/>
      <c r="L108" s="470"/>
      <c r="M108" s="470"/>
      <c r="N108" s="470"/>
    </row>
    <row r="109" spans="1:14" s="928" customFormat="1" ht="39.75" customHeight="1">
      <c r="A109" s="455" t="s">
        <v>217</v>
      </c>
      <c r="B109" s="933">
        <v>65</v>
      </c>
      <c r="C109" s="764" t="s">
        <v>545</v>
      </c>
      <c r="D109" s="805"/>
      <c r="E109" s="769"/>
      <c r="F109" s="805"/>
      <c r="G109" s="769"/>
      <c r="H109" s="801">
        <v>4</v>
      </c>
      <c r="I109" s="769">
        <v>808.4</v>
      </c>
      <c r="J109" s="801"/>
      <c r="K109" s="769"/>
      <c r="L109" s="769"/>
      <c r="M109" s="927"/>
      <c r="N109" s="833">
        <f>SUM(E109,G109,I109,L109,M109)</f>
        <v>808.4</v>
      </c>
    </row>
    <row r="110" spans="1:14" s="917" customFormat="1" ht="21.75">
      <c r="A110" s="494"/>
      <c r="B110" s="936"/>
      <c r="C110" s="466"/>
      <c r="D110" s="931"/>
      <c r="E110" s="932"/>
      <c r="F110" s="931"/>
      <c r="G110" s="932"/>
      <c r="H110" s="931">
        <f>SUM(H109)</f>
        <v>4</v>
      </c>
      <c r="I110" s="932">
        <f>SUM(I109)</f>
        <v>808.4</v>
      </c>
      <c r="J110" s="931"/>
      <c r="K110" s="932"/>
      <c r="L110" s="931"/>
      <c r="M110" s="931"/>
      <c r="N110" s="932">
        <f>SUM(N109)</f>
        <v>808.4</v>
      </c>
    </row>
    <row r="111" spans="1:14" s="493" customFormat="1" ht="21.75">
      <c r="A111" s="469" t="s">
        <v>99</v>
      </c>
      <c r="B111" s="505"/>
      <c r="C111" s="469" t="s">
        <v>96</v>
      </c>
      <c r="D111" s="497"/>
      <c r="E111" s="498"/>
      <c r="F111" s="497"/>
      <c r="G111" s="498"/>
      <c r="H111" s="499"/>
      <c r="I111" s="498"/>
      <c r="J111" s="499"/>
      <c r="K111" s="498"/>
      <c r="L111" s="498"/>
      <c r="M111" s="498"/>
      <c r="N111" s="473"/>
    </row>
    <row r="112" spans="1:14" s="483" customFormat="1" ht="40.5" customHeight="1">
      <c r="A112" s="456" t="s">
        <v>100</v>
      </c>
      <c r="B112" s="465">
        <v>66</v>
      </c>
      <c r="C112" s="556" t="s">
        <v>145</v>
      </c>
      <c r="D112" s="488"/>
      <c r="E112" s="460"/>
      <c r="F112" s="488"/>
      <c r="G112" s="460">
        <v>584.4</v>
      </c>
      <c r="H112" s="489"/>
      <c r="I112" s="460"/>
      <c r="J112" s="489"/>
      <c r="K112" s="460"/>
      <c r="L112" s="460"/>
      <c r="M112" s="460"/>
      <c r="N112" s="833">
        <f>SUM(E112,G112,I112,K112,L112,M112)</f>
        <v>584.4</v>
      </c>
    </row>
    <row r="113" spans="1:14" s="481" customFormat="1" ht="21.75">
      <c r="A113" s="457"/>
      <c r="B113" s="465">
        <v>67</v>
      </c>
      <c r="C113" s="867" t="s">
        <v>250</v>
      </c>
      <c r="D113" s="485"/>
      <c r="E113" s="486"/>
      <c r="G113" s="481">
        <v>248.6</v>
      </c>
      <c r="J113" s="481">
        <f>4+2</f>
        <v>6</v>
      </c>
      <c r="K113" s="1076">
        <v>1960.7</v>
      </c>
      <c r="M113" s="486"/>
      <c r="N113" s="833">
        <f>SUM(E113,G113,I113,K113,L113,M113)</f>
        <v>2209.3</v>
      </c>
    </row>
    <row r="114" spans="1:14" s="481" customFormat="1" ht="21.75">
      <c r="A114" s="457"/>
      <c r="B114" s="465">
        <v>68</v>
      </c>
      <c r="C114" s="458" t="s">
        <v>101</v>
      </c>
      <c r="D114" s="485"/>
      <c r="E114" s="486"/>
      <c r="F114" s="485">
        <v>1</v>
      </c>
      <c r="G114" s="486">
        <v>733.3</v>
      </c>
      <c r="H114" s="487"/>
      <c r="I114" s="486"/>
      <c r="J114" s="487">
        <f>2+1</f>
        <v>3</v>
      </c>
      <c r="K114" s="486">
        <v>503.2</v>
      </c>
      <c r="L114" s="486"/>
      <c r="M114" s="800"/>
      <c r="N114" s="833">
        <f>SUM(E114,G114,I114,K114,L114,M114)</f>
        <v>1236.5</v>
      </c>
    </row>
    <row r="115" spans="1:14" s="481" customFormat="1" ht="60.75">
      <c r="A115" s="455" t="s">
        <v>182</v>
      </c>
      <c r="B115" s="465">
        <v>69</v>
      </c>
      <c r="C115" s="556" t="s">
        <v>544</v>
      </c>
      <c r="D115" s="488">
        <v>7</v>
      </c>
      <c r="E115" s="460">
        <v>295.3</v>
      </c>
      <c r="F115" s="488"/>
      <c r="G115" s="460"/>
      <c r="H115" s="489">
        <v>5</v>
      </c>
      <c r="I115" s="460">
        <v>124.1</v>
      </c>
      <c r="J115" s="489"/>
      <c r="K115" s="460"/>
      <c r="L115" s="460"/>
      <c r="M115" s="763"/>
      <c r="N115" s="833">
        <f>SUM(E115,G115,I115,K115,L115,M115)</f>
        <v>419.4</v>
      </c>
    </row>
    <row r="116" spans="1:14" s="493" customFormat="1" ht="22.5" thickBot="1">
      <c r="A116" s="494"/>
      <c r="B116" s="504"/>
      <c r="C116" s="466" t="s">
        <v>97</v>
      </c>
      <c r="D116" s="468">
        <f>SUM(D115)</f>
        <v>7</v>
      </c>
      <c r="E116" s="467">
        <f>SUM(E115)</f>
        <v>295.3</v>
      </c>
      <c r="F116" s="468">
        <f aca="true" t="shared" si="9" ref="F116:M116">SUM(F112:F115)</f>
        <v>1</v>
      </c>
      <c r="G116" s="467">
        <f t="shared" si="9"/>
        <v>1566.3</v>
      </c>
      <c r="H116" s="468">
        <f t="shared" si="9"/>
        <v>5</v>
      </c>
      <c r="I116" s="467">
        <f t="shared" si="9"/>
        <v>124.1</v>
      </c>
      <c r="J116" s="468">
        <f t="shared" si="9"/>
        <v>9</v>
      </c>
      <c r="K116" s="467">
        <f t="shared" si="9"/>
        <v>2463.9</v>
      </c>
      <c r="L116" s="468">
        <f t="shared" si="9"/>
        <v>0</v>
      </c>
      <c r="M116" s="468">
        <f t="shared" si="9"/>
        <v>0</v>
      </c>
      <c r="N116" s="467">
        <f>SUM(N112:N115)</f>
        <v>4449.6</v>
      </c>
    </row>
    <row r="117" spans="1:14" s="493" customFormat="1" ht="20.25" customHeight="1" thickBot="1">
      <c r="A117" s="1224" t="s">
        <v>53</v>
      </c>
      <c r="B117" s="1224"/>
      <c r="C117" s="1224"/>
      <c r="D117" s="948">
        <f aca="true" t="shared" si="10" ref="D117:N117">SUM(D5:D116)/2</f>
        <v>802</v>
      </c>
      <c r="E117" s="663">
        <f t="shared" si="10"/>
        <v>54377.900000000016</v>
      </c>
      <c r="F117" s="662">
        <f t="shared" si="10"/>
        <v>34</v>
      </c>
      <c r="G117" s="663">
        <f t="shared" si="10"/>
        <v>20052.192800000004</v>
      </c>
      <c r="H117" s="662">
        <f t="shared" si="10"/>
        <v>191</v>
      </c>
      <c r="I117" s="663">
        <f t="shared" si="10"/>
        <v>18238.588</v>
      </c>
      <c r="J117" s="662">
        <f t="shared" si="10"/>
        <v>24</v>
      </c>
      <c r="K117" s="663">
        <f t="shared" si="10"/>
        <v>6828.500000000002</v>
      </c>
      <c r="L117" s="663">
        <f t="shared" si="10"/>
        <v>50571.39025</v>
      </c>
      <c r="M117" s="663">
        <f t="shared" si="10"/>
        <v>61476.899999999994</v>
      </c>
      <c r="N117" s="663">
        <f t="shared" si="10"/>
        <v>211545.47105000002</v>
      </c>
    </row>
    <row r="118" ht="19.5" customHeight="1">
      <c r="A118" s="947" t="s">
        <v>165</v>
      </c>
    </row>
  </sheetData>
  <sheetProtection/>
  <mergeCells count="11">
    <mergeCell ref="A117:C117"/>
    <mergeCell ref="H2:I2"/>
    <mergeCell ref="L2:L3"/>
    <mergeCell ref="M2:M3"/>
    <mergeCell ref="N2:N3"/>
    <mergeCell ref="A2:A3"/>
    <mergeCell ref="B2:B3"/>
    <mergeCell ref="C2:C3"/>
    <mergeCell ref="F2:G2"/>
    <mergeCell ref="D2:E2"/>
    <mergeCell ref="J2:K2"/>
  </mergeCells>
  <printOptions/>
  <pageMargins left="0" right="0" top="0.1968503937007874" bottom="0.11811023622047245"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5"/>
  </sheetPr>
  <dimension ref="A1:AL70"/>
  <sheetViews>
    <sheetView zoomScalePageLayoutView="0" workbookViewId="0" topLeftCell="A1">
      <pane xSplit="1" ySplit="3" topLeftCell="B4" activePane="bottomRight" state="frozen"/>
      <selection pane="topLeft" activeCell="L32" sqref="L32"/>
      <selection pane="topRight" activeCell="L32" sqref="L32"/>
      <selection pane="bottomLeft" activeCell="L32" sqref="L32"/>
      <selection pane="bottomRight" activeCell="D2" sqref="D2:E2"/>
    </sheetView>
  </sheetViews>
  <sheetFormatPr defaultColWidth="9.140625" defaultRowHeight="12.75"/>
  <cols>
    <col min="1" max="1" width="14.421875" style="98" customWidth="1"/>
    <col min="2" max="2" width="4.7109375" style="122" customWidth="1"/>
    <col min="3" max="3" width="8.140625" style="276" customWidth="1"/>
    <col min="4" max="4" width="4.421875" style="123" customWidth="1"/>
    <col min="5" max="5" width="8.140625" style="291" customWidth="1"/>
    <col min="6" max="6" width="5.57421875" style="98" bestFit="1" customWidth="1"/>
    <col min="7" max="7" width="8.28125" style="289" bestFit="1" customWidth="1"/>
    <col min="8" max="8" width="5.140625" style="124" customWidth="1"/>
    <col min="9" max="9" width="8.28125" style="98" customWidth="1"/>
    <col min="10" max="10" width="4.421875" style="98" customWidth="1"/>
    <col min="11" max="11" width="9.140625" style="233" customWidth="1"/>
    <col min="12" max="12" width="4.7109375" style="124" customWidth="1"/>
    <col min="13" max="13" width="8.421875" style="123" customWidth="1"/>
    <col min="14" max="14" width="5.421875" style="124" customWidth="1"/>
    <col min="15" max="15" width="9.00390625" style="98" customWidth="1"/>
    <col min="16" max="16" width="4.7109375" style="124" customWidth="1"/>
    <col min="17" max="17" width="6.7109375" style="98" customWidth="1"/>
    <col min="18" max="18" width="5.00390625" style="124" bestFit="1" customWidth="1"/>
    <col min="19" max="19" width="9.57421875" style="289" customWidth="1"/>
    <col min="20" max="20" width="7.8515625" style="0" customWidth="1"/>
    <col min="21" max="21" width="5.00390625" style="0" customWidth="1"/>
    <col min="23" max="23" width="5.00390625" style="0" customWidth="1"/>
    <col min="25" max="25" width="4.8515625" style="0" customWidth="1"/>
    <col min="27" max="27" width="4.8515625" style="0" customWidth="1"/>
    <col min="29" max="29" width="4.8515625" style="0" customWidth="1"/>
    <col min="31" max="31" width="4.7109375" style="0" customWidth="1"/>
    <col min="33" max="33" width="5.00390625" style="0" customWidth="1"/>
    <col min="35" max="35" width="5.140625" style="0" customWidth="1"/>
    <col min="37" max="37" width="4.8515625" style="0" customWidth="1"/>
    <col min="39" max="39" width="4.8515625" style="98" customWidth="1"/>
    <col min="40" max="40" width="9.140625" style="98" customWidth="1"/>
    <col min="41" max="41" width="4.7109375" style="98" customWidth="1"/>
    <col min="42" max="42" width="9.140625" style="98" customWidth="1"/>
    <col min="43" max="43" width="5.140625" style="98" customWidth="1"/>
    <col min="44" max="44" width="9.140625" style="98" customWidth="1"/>
    <col min="45" max="45" width="5.140625" style="98" customWidth="1"/>
    <col min="46" max="16384" width="9.140625" style="98" customWidth="1"/>
  </cols>
  <sheetData>
    <row r="1" spans="1:38" s="56" customFormat="1" ht="29.25" customHeight="1" thickBot="1">
      <c r="A1" s="158" t="s">
        <v>396</v>
      </c>
      <c r="B1" s="122"/>
      <c r="C1" s="276"/>
      <c r="D1" s="123"/>
      <c r="E1" s="291"/>
      <c r="F1" s="123"/>
      <c r="G1" s="291"/>
      <c r="H1" s="124"/>
      <c r="I1" s="123"/>
      <c r="J1" s="123"/>
      <c r="K1" s="276"/>
      <c r="N1" s="124"/>
      <c r="P1" s="69"/>
      <c r="Q1" s="69"/>
      <c r="R1" s="69"/>
      <c r="S1" s="283" t="s">
        <v>0</v>
      </c>
      <c r="T1"/>
      <c r="U1"/>
      <c r="V1"/>
      <c r="W1"/>
      <c r="X1"/>
      <c r="Y1"/>
      <c r="Z1"/>
      <c r="AA1"/>
      <c r="AB1"/>
      <c r="AC1"/>
      <c r="AD1"/>
      <c r="AE1"/>
      <c r="AF1"/>
      <c r="AG1"/>
      <c r="AH1"/>
      <c r="AI1"/>
      <c r="AJ1"/>
      <c r="AK1"/>
      <c r="AL1"/>
    </row>
    <row r="2" spans="1:38" s="56" customFormat="1" ht="73.5" customHeight="1" thickBot="1">
      <c r="A2" s="1227" t="s">
        <v>1</v>
      </c>
      <c r="B2" s="1229" t="s">
        <v>63</v>
      </c>
      <c r="C2" s="1229"/>
      <c r="D2" s="1230" t="s">
        <v>76</v>
      </c>
      <c r="E2" s="1230"/>
      <c r="F2" s="1232" t="s">
        <v>69</v>
      </c>
      <c r="G2" s="1232"/>
      <c r="H2" s="1235" t="s">
        <v>70</v>
      </c>
      <c r="I2" s="1235"/>
      <c r="J2" s="1232" t="s">
        <v>71</v>
      </c>
      <c r="K2" s="1232"/>
      <c r="L2" s="1233" t="s">
        <v>72</v>
      </c>
      <c r="M2" s="1233"/>
      <c r="N2" s="1234" t="s">
        <v>73</v>
      </c>
      <c r="O2" s="1234"/>
      <c r="P2" s="1231" t="s">
        <v>218</v>
      </c>
      <c r="Q2" s="1231"/>
      <c r="R2" s="1215" t="s">
        <v>58</v>
      </c>
      <c r="S2" s="1215"/>
      <c r="T2"/>
      <c r="U2"/>
      <c r="V2"/>
      <c r="W2"/>
      <c r="X2"/>
      <c r="Y2"/>
      <c r="Z2"/>
      <c r="AA2"/>
      <c r="AB2"/>
      <c r="AC2"/>
      <c r="AD2"/>
      <c r="AE2"/>
      <c r="AF2"/>
      <c r="AG2"/>
      <c r="AH2"/>
      <c r="AI2"/>
      <c r="AJ2"/>
      <c r="AK2"/>
      <c r="AL2"/>
    </row>
    <row r="3" spans="1:38" s="56" customFormat="1" ht="23.25" customHeight="1" thickBot="1">
      <c r="A3" s="1228"/>
      <c r="B3" s="145" t="s">
        <v>10</v>
      </c>
      <c r="C3" s="277" t="s">
        <v>9</v>
      </c>
      <c r="D3" s="145" t="s">
        <v>10</v>
      </c>
      <c r="E3" s="284" t="s">
        <v>9</v>
      </c>
      <c r="F3" s="145" t="s">
        <v>10</v>
      </c>
      <c r="G3" s="284" t="s">
        <v>9</v>
      </c>
      <c r="H3" s="85" t="s">
        <v>10</v>
      </c>
      <c r="I3" s="140" t="s">
        <v>9</v>
      </c>
      <c r="J3" s="85" t="s">
        <v>10</v>
      </c>
      <c r="K3" s="277" t="s">
        <v>9</v>
      </c>
      <c r="L3" s="85" t="s">
        <v>10</v>
      </c>
      <c r="M3" s="140" t="s">
        <v>9</v>
      </c>
      <c r="N3" s="85" t="s">
        <v>10</v>
      </c>
      <c r="O3" s="140" t="s">
        <v>9</v>
      </c>
      <c r="P3" s="140" t="s">
        <v>10</v>
      </c>
      <c r="Q3" s="140" t="s">
        <v>9</v>
      </c>
      <c r="R3" s="140" t="s">
        <v>10</v>
      </c>
      <c r="S3" s="284" t="s">
        <v>9</v>
      </c>
      <c r="T3"/>
      <c r="U3"/>
      <c r="V3"/>
      <c r="W3"/>
      <c r="X3"/>
      <c r="Y3"/>
      <c r="Z3"/>
      <c r="AA3"/>
      <c r="AB3"/>
      <c r="AC3"/>
      <c r="AD3"/>
      <c r="AE3"/>
      <c r="AF3"/>
      <c r="AG3"/>
      <c r="AH3"/>
      <c r="AI3"/>
      <c r="AJ3"/>
      <c r="AK3"/>
      <c r="AL3"/>
    </row>
    <row r="4" spans="1:38" s="56" customFormat="1" ht="21.75" customHeight="1">
      <c r="A4" s="70" t="s">
        <v>77</v>
      </c>
      <c r="B4" s="58"/>
      <c r="C4" s="278"/>
      <c r="D4" s="59"/>
      <c r="E4" s="285"/>
      <c r="F4" s="59"/>
      <c r="G4" s="285"/>
      <c r="H4" s="60"/>
      <c r="I4" s="59"/>
      <c r="J4" s="59"/>
      <c r="K4" s="278"/>
      <c r="L4" s="60"/>
      <c r="M4" s="59"/>
      <c r="N4" s="60"/>
      <c r="O4" s="59"/>
      <c r="P4" s="60"/>
      <c r="Q4" s="59"/>
      <c r="R4" s="60"/>
      <c r="S4" s="285"/>
      <c r="T4"/>
      <c r="U4"/>
      <c r="V4"/>
      <c r="W4"/>
      <c r="X4"/>
      <c r="Y4"/>
      <c r="Z4"/>
      <c r="AA4"/>
      <c r="AB4"/>
      <c r="AC4"/>
      <c r="AD4"/>
      <c r="AE4"/>
      <c r="AF4"/>
      <c r="AG4"/>
      <c r="AH4"/>
      <c r="AI4"/>
      <c r="AJ4"/>
      <c r="AK4"/>
      <c r="AL4"/>
    </row>
    <row r="5" spans="1:38" s="74" customFormat="1" ht="23.25" customHeight="1">
      <c r="A5" s="96" t="s">
        <v>78</v>
      </c>
      <c r="B5" s="703"/>
      <c r="C5" s="704"/>
      <c r="D5" s="703"/>
      <c r="E5" s="705"/>
      <c r="F5" s="703"/>
      <c r="G5" s="705"/>
      <c r="H5" s="703"/>
      <c r="I5" s="703"/>
      <c r="J5" s="706"/>
      <c r="K5" s="704"/>
      <c r="L5" s="703"/>
      <c r="M5" s="703"/>
      <c r="N5" s="703"/>
      <c r="O5" s="703"/>
      <c r="P5" s="703"/>
      <c r="Q5" s="703"/>
      <c r="R5" s="83">
        <f aca="true" t="shared" si="0" ref="R5:S8">SUM(B5,D5,F5,H5,J5,L5,N5,P5)</f>
        <v>0</v>
      </c>
      <c r="S5" s="287">
        <f t="shared" si="0"/>
        <v>0</v>
      </c>
      <c r="T5"/>
      <c r="U5"/>
      <c r="V5"/>
      <c r="W5"/>
      <c r="X5"/>
      <c r="Y5"/>
      <c r="Z5"/>
      <c r="AA5"/>
      <c r="AB5"/>
      <c r="AC5"/>
      <c r="AD5"/>
      <c r="AE5"/>
      <c r="AF5"/>
      <c r="AG5"/>
      <c r="AH5"/>
      <c r="AI5"/>
      <c r="AJ5"/>
      <c r="AK5"/>
      <c r="AL5"/>
    </row>
    <row r="6" spans="1:38" s="74" customFormat="1" ht="23.25" customHeight="1">
      <c r="A6" s="96" t="s">
        <v>79</v>
      </c>
      <c r="B6" s="703"/>
      <c r="C6" s="704"/>
      <c r="D6" s="714"/>
      <c r="E6" s="705"/>
      <c r="F6" s="706"/>
      <c r="G6" s="705"/>
      <c r="H6" s="703"/>
      <c r="I6" s="703"/>
      <c r="J6" s="714"/>
      <c r="K6" s="704"/>
      <c r="L6" s="703"/>
      <c r="M6" s="705"/>
      <c r="N6" s="703"/>
      <c r="O6" s="705"/>
      <c r="P6" s="703"/>
      <c r="Q6" s="703"/>
      <c r="R6" s="83">
        <f t="shared" si="0"/>
        <v>0</v>
      </c>
      <c r="S6" s="287">
        <f t="shared" si="0"/>
        <v>0</v>
      </c>
      <c r="T6"/>
      <c r="U6"/>
      <c r="V6"/>
      <c r="W6"/>
      <c r="X6"/>
      <c r="Y6"/>
      <c r="Z6"/>
      <c r="AA6"/>
      <c r="AB6"/>
      <c r="AC6"/>
      <c r="AD6"/>
      <c r="AE6"/>
      <c r="AF6"/>
      <c r="AG6"/>
      <c r="AH6"/>
      <c r="AI6"/>
      <c r="AJ6"/>
      <c r="AK6"/>
      <c r="AL6"/>
    </row>
    <row r="7" spans="1:38" s="74" customFormat="1" ht="23.25" customHeight="1">
      <c r="A7" s="96" t="s">
        <v>80</v>
      </c>
      <c r="B7" s="714"/>
      <c r="C7" s="714"/>
      <c r="D7" s="703"/>
      <c r="E7" s="705"/>
      <c r="F7" s="703"/>
      <c r="G7" s="705"/>
      <c r="H7" s="703"/>
      <c r="I7" s="703"/>
      <c r="J7" s="703"/>
      <c r="K7" s="704"/>
      <c r="L7" s="703"/>
      <c r="M7" s="703"/>
      <c r="N7" s="703"/>
      <c r="O7" s="703"/>
      <c r="P7" s="703"/>
      <c r="Q7" s="703"/>
      <c r="R7" s="83">
        <f t="shared" si="0"/>
        <v>0</v>
      </c>
      <c r="S7" s="287">
        <f t="shared" si="0"/>
        <v>0</v>
      </c>
      <c r="T7"/>
      <c r="U7"/>
      <c r="V7"/>
      <c r="W7"/>
      <c r="X7"/>
      <c r="Y7"/>
      <c r="Z7"/>
      <c r="AA7"/>
      <c r="AB7"/>
      <c r="AC7"/>
      <c r="AD7"/>
      <c r="AE7"/>
      <c r="AF7"/>
      <c r="AG7"/>
      <c r="AH7"/>
      <c r="AI7"/>
      <c r="AJ7"/>
      <c r="AK7"/>
      <c r="AL7"/>
    </row>
    <row r="8" spans="1:38" s="74" customFormat="1" ht="23.25" customHeight="1">
      <c r="A8" s="96" t="s">
        <v>81</v>
      </c>
      <c r="B8" s="703"/>
      <c r="C8" s="704"/>
      <c r="D8" s="703"/>
      <c r="E8" s="705"/>
      <c r="F8" s="703"/>
      <c r="G8" s="705"/>
      <c r="H8" s="714"/>
      <c r="I8" s="730"/>
      <c r="J8" s="714"/>
      <c r="K8" s="704"/>
      <c r="L8" s="714"/>
      <c r="M8" s="703"/>
      <c r="N8" s="703"/>
      <c r="O8" s="703"/>
      <c r="P8" s="706"/>
      <c r="Q8" s="703"/>
      <c r="R8" s="83">
        <f t="shared" si="0"/>
        <v>0</v>
      </c>
      <c r="S8" s="287">
        <f t="shared" si="0"/>
        <v>0</v>
      </c>
      <c r="T8"/>
      <c r="U8"/>
      <c r="V8"/>
      <c r="W8"/>
      <c r="X8"/>
      <c r="Y8"/>
      <c r="Z8"/>
      <c r="AA8"/>
      <c r="AB8"/>
      <c r="AC8"/>
      <c r="AD8"/>
      <c r="AE8"/>
      <c r="AF8"/>
      <c r="AG8"/>
      <c r="AH8"/>
      <c r="AI8"/>
      <c r="AJ8"/>
      <c r="AK8"/>
      <c r="AL8"/>
    </row>
    <row r="9" spans="1:38" s="180" customFormat="1" ht="24.75" customHeight="1">
      <c r="A9" s="75" t="s">
        <v>15</v>
      </c>
      <c r="B9" s="707"/>
      <c r="C9" s="708"/>
      <c r="D9" s="710"/>
      <c r="E9" s="711"/>
      <c r="F9" s="710"/>
      <c r="G9" s="711"/>
      <c r="H9" s="731"/>
      <c r="I9" s="731"/>
      <c r="J9" s="731"/>
      <c r="K9" s="712"/>
      <c r="L9" s="710"/>
      <c r="M9" s="713"/>
      <c r="N9" s="710"/>
      <c r="O9" s="710"/>
      <c r="P9" s="710"/>
      <c r="Q9" s="710"/>
      <c r="R9" s="81"/>
      <c r="S9" s="286"/>
      <c r="T9" s="293"/>
      <c r="U9" s="293"/>
      <c r="V9" s="293"/>
      <c r="W9" s="293"/>
      <c r="X9" s="293"/>
      <c r="Y9" s="293"/>
      <c r="Z9" s="293"/>
      <c r="AA9" s="293"/>
      <c r="AB9" s="293"/>
      <c r="AC9" s="293"/>
      <c r="AD9" s="293"/>
      <c r="AE9" s="293"/>
      <c r="AF9" s="293"/>
      <c r="AG9" s="293"/>
      <c r="AH9" s="293"/>
      <c r="AI9" s="293"/>
      <c r="AJ9" s="293"/>
      <c r="AK9" s="293"/>
      <c r="AL9" s="293"/>
    </row>
    <row r="10" spans="1:38" s="40" customFormat="1" ht="24" customHeight="1">
      <c r="A10" s="96" t="s">
        <v>87</v>
      </c>
      <c r="B10" s="703"/>
      <c r="C10" s="704"/>
      <c r="D10" s="703"/>
      <c r="E10" s="705"/>
      <c r="F10" s="703"/>
      <c r="G10" s="705"/>
      <c r="H10" s="714"/>
      <c r="I10" s="714"/>
      <c r="J10" s="714"/>
      <c r="K10" s="704">
        <v>11.6</v>
      </c>
      <c r="L10" s="714"/>
      <c r="M10" s="703"/>
      <c r="N10" s="703"/>
      <c r="O10" s="703"/>
      <c r="P10" s="703"/>
      <c r="Q10" s="703"/>
      <c r="R10" s="83">
        <f aca="true" t="shared" si="1" ref="R10:S12">SUM(B10,D10,F10,H10,J10,L10,N10,P10)</f>
        <v>0</v>
      </c>
      <c r="S10" s="287">
        <f t="shared" si="1"/>
        <v>11.6</v>
      </c>
      <c r="T10"/>
      <c r="U10"/>
      <c r="V10"/>
      <c r="W10"/>
      <c r="X10"/>
      <c r="Y10"/>
      <c r="Z10"/>
      <c r="AA10"/>
      <c r="AB10"/>
      <c r="AC10"/>
      <c r="AD10"/>
      <c r="AE10"/>
      <c r="AF10"/>
      <c r="AG10"/>
      <c r="AH10"/>
      <c r="AI10"/>
      <c r="AJ10"/>
      <c r="AK10"/>
      <c r="AL10"/>
    </row>
    <row r="11" spans="1:38" s="40" customFormat="1" ht="24" customHeight="1">
      <c r="A11" s="96" t="s">
        <v>88</v>
      </c>
      <c r="B11" s="703">
        <v>1</v>
      </c>
      <c r="C11" s="704">
        <v>250</v>
      </c>
      <c r="D11" s="703"/>
      <c r="E11" s="705"/>
      <c r="F11" s="703"/>
      <c r="G11" s="705"/>
      <c r="H11" s="714"/>
      <c r="I11" s="714"/>
      <c r="J11" s="714"/>
      <c r="K11" s="704"/>
      <c r="L11" s="714"/>
      <c r="M11" s="703"/>
      <c r="N11" s="703"/>
      <c r="O11" s="703"/>
      <c r="P11" s="703"/>
      <c r="Q11" s="703"/>
      <c r="R11" s="83">
        <f t="shared" si="1"/>
        <v>1</v>
      </c>
      <c r="S11" s="287">
        <f t="shared" si="1"/>
        <v>250</v>
      </c>
      <c r="T11"/>
      <c r="U11"/>
      <c r="V11"/>
      <c r="W11"/>
      <c r="X11"/>
      <c r="Y11"/>
      <c r="Z11"/>
      <c r="AA11"/>
      <c r="AB11"/>
      <c r="AC11"/>
      <c r="AD11"/>
      <c r="AE11"/>
      <c r="AF11"/>
      <c r="AG11"/>
      <c r="AH11"/>
      <c r="AI11"/>
      <c r="AJ11"/>
      <c r="AK11"/>
      <c r="AL11"/>
    </row>
    <row r="12" spans="1:38" s="290" customFormat="1" ht="24" customHeight="1">
      <c r="A12" s="96" t="s">
        <v>83</v>
      </c>
      <c r="B12" s="703"/>
      <c r="C12" s="704"/>
      <c r="D12" s="703"/>
      <c r="E12" s="705"/>
      <c r="F12" s="703"/>
      <c r="G12" s="705"/>
      <c r="H12" s="703"/>
      <c r="I12" s="703"/>
      <c r="J12" s="703">
        <v>1</v>
      </c>
      <c r="K12" s="704">
        <v>75.3</v>
      </c>
      <c r="L12" s="703"/>
      <c r="M12" s="703"/>
      <c r="N12" s="706"/>
      <c r="O12" s="703"/>
      <c r="P12" s="703"/>
      <c r="Q12" s="703"/>
      <c r="R12" s="83">
        <f t="shared" si="1"/>
        <v>1</v>
      </c>
      <c r="S12" s="287">
        <f t="shared" si="1"/>
        <v>75.3</v>
      </c>
      <c r="T12" s="156"/>
      <c r="U12" s="156"/>
      <c r="V12" s="156"/>
      <c r="W12" s="156"/>
      <c r="X12" s="156"/>
      <c r="Y12" s="156"/>
      <c r="Z12" s="156"/>
      <c r="AA12" s="156"/>
      <c r="AB12" s="156"/>
      <c r="AC12" s="156"/>
      <c r="AD12" s="156"/>
      <c r="AE12" s="156"/>
      <c r="AF12" s="156"/>
      <c r="AG12" s="156"/>
      <c r="AH12" s="156"/>
      <c r="AI12" s="156"/>
      <c r="AJ12" s="156"/>
      <c r="AK12" s="156"/>
      <c r="AL12" s="156"/>
    </row>
    <row r="13" spans="1:38" s="180" customFormat="1" ht="23.25" customHeight="1">
      <c r="A13" s="75" t="s">
        <v>234</v>
      </c>
      <c r="B13" s="707"/>
      <c r="C13" s="708"/>
      <c r="D13" s="710"/>
      <c r="E13" s="711"/>
      <c r="F13" s="713"/>
      <c r="G13" s="709"/>
      <c r="H13" s="710"/>
      <c r="I13" s="713"/>
      <c r="J13" s="713"/>
      <c r="K13" s="708"/>
      <c r="L13" s="710"/>
      <c r="M13" s="713"/>
      <c r="N13" s="710"/>
      <c r="O13" s="713"/>
      <c r="P13" s="710"/>
      <c r="Q13" s="713"/>
      <c r="R13" s="81"/>
      <c r="S13" s="286"/>
      <c r="T13" s="293"/>
      <c r="U13" s="293"/>
      <c r="V13" s="293"/>
      <c r="W13" s="293"/>
      <c r="X13" s="293"/>
      <c r="Y13" s="293"/>
      <c r="Z13" s="293"/>
      <c r="AA13" s="293"/>
      <c r="AB13" s="293"/>
      <c r="AC13" s="293"/>
      <c r="AD13" s="293"/>
      <c r="AE13" s="293"/>
      <c r="AF13" s="293"/>
      <c r="AG13" s="293"/>
      <c r="AH13" s="293"/>
      <c r="AI13" s="293"/>
      <c r="AJ13" s="293"/>
      <c r="AK13" s="293"/>
      <c r="AL13" s="293"/>
    </row>
    <row r="14" spans="1:38" s="40" customFormat="1" ht="23.25" customHeight="1">
      <c r="A14" s="96" t="s">
        <v>270</v>
      </c>
      <c r="B14" s="703">
        <v>1</v>
      </c>
      <c r="C14" s="704">
        <v>78.5</v>
      </c>
      <c r="D14" s="703"/>
      <c r="E14" s="705">
        <v>707.3</v>
      </c>
      <c r="F14" s="703">
        <v>2</v>
      </c>
      <c r="G14" s="705">
        <v>373.4</v>
      </c>
      <c r="H14" s="703"/>
      <c r="I14" s="703"/>
      <c r="J14" s="706"/>
      <c r="K14" s="704"/>
      <c r="L14" s="703"/>
      <c r="M14" s="703"/>
      <c r="N14" s="706"/>
      <c r="O14" s="703"/>
      <c r="P14" s="706"/>
      <c r="Q14" s="703"/>
      <c r="R14" s="83">
        <f aca="true" t="shared" si="2" ref="R14:S19">SUM(B14,D14,F14,H14,J14,L14,N14,P14)</f>
        <v>3</v>
      </c>
      <c r="S14" s="287">
        <f t="shared" si="2"/>
        <v>1159.1999999999998</v>
      </c>
      <c r="T14"/>
      <c r="U14"/>
      <c r="V14"/>
      <c r="W14"/>
      <c r="X14"/>
      <c r="Y14"/>
      <c r="Z14"/>
      <c r="AA14"/>
      <c r="AB14"/>
      <c r="AC14"/>
      <c r="AD14"/>
      <c r="AE14"/>
      <c r="AF14"/>
      <c r="AG14"/>
      <c r="AH14"/>
      <c r="AI14"/>
      <c r="AJ14"/>
      <c r="AK14"/>
      <c r="AL14"/>
    </row>
    <row r="15" spans="1:38" s="40" customFormat="1" ht="23.25" customHeight="1" hidden="1">
      <c r="A15" s="96" t="s">
        <v>89</v>
      </c>
      <c r="B15" s="714"/>
      <c r="C15" s="704"/>
      <c r="D15" s="703"/>
      <c r="E15" s="705"/>
      <c r="F15" s="714"/>
      <c r="G15" s="705"/>
      <c r="H15" s="706"/>
      <c r="I15" s="703"/>
      <c r="J15" s="703"/>
      <c r="K15" s="704"/>
      <c r="L15" s="703"/>
      <c r="M15" s="703"/>
      <c r="N15" s="703"/>
      <c r="O15" s="703"/>
      <c r="P15" s="714"/>
      <c r="Q15" s="703"/>
      <c r="R15" s="83">
        <f t="shared" si="2"/>
        <v>0</v>
      </c>
      <c r="S15" s="287">
        <f t="shared" si="2"/>
        <v>0</v>
      </c>
      <c r="T15"/>
      <c r="U15"/>
      <c r="V15"/>
      <c r="W15"/>
      <c r="X15"/>
      <c r="Y15"/>
      <c r="Z15"/>
      <c r="AA15"/>
      <c r="AB15"/>
      <c r="AC15"/>
      <c r="AD15"/>
      <c r="AE15"/>
      <c r="AF15"/>
      <c r="AG15"/>
      <c r="AH15"/>
      <c r="AI15"/>
      <c r="AJ15"/>
      <c r="AK15"/>
      <c r="AL15"/>
    </row>
    <row r="16" spans="1:38" s="40" customFormat="1" ht="23.25" customHeight="1">
      <c r="A16" s="96" t="s">
        <v>110</v>
      </c>
      <c r="B16" s="703"/>
      <c r="C16" s="704"/>
      <c r="D16" s="703"/>
      <c r="E16" s="705"/>
      <c r="F16" s="1074">
        <v>2</v>
      </c>
      <c r="G16" s="705">
        <v>158.6</v>
      </c>
      <c r="H16" s="907">
        <v>1</v>
      </c>
      <c r="I16" s="703">
        <v>576.2</v>
      </c>
      <c r="J16" s="714">
        <v>1</v>
      </c>
      <c r="K16" s="704">
        <v>61.2</v>
      </c>
      <c r="L16" s="703"/>
      <c r="M16" s="703"/>
      <c r="N16" s="714"/>
      <c r="O16" s="703">
        <v>470</v>
      </c>
      <c r="P16" s="714">
        <v>1</v>
      </c>
      <c r="Q16" s="703">
        <v>478.3</v>
      </c>
      <c r="R16" s="83">
        <f t="shared" si="2"/>
        <v>5</v>
      </c>
      <c r="S16" s="287">
        <f t="shared" si="2"/>
        <v>1744.3</v>
      </c>
      <c r="T16"/>
      <c r="U16"/>
      <c r="V16"/>
      <c r="W16"/>
      <c r="X16"/>
      <c r="Y16"/>
      <c r="Z16"/>
      <c r="AA16"/>
      <c r="AB16"/>
      <c r="AC16"/>
      <c r="AD16"/>
      <c r="AE16"/>
      <c r="AF16"/>
      <c r="AG16"/>
      <c r="AH16"/>
      <c r="AI16"/>
      <c r="AJ16"/>
      <c r="AK16"/>
      <c r="AL16"/>
    </row>
    <row r="17" spans="1:38" s="40" customFormat="1" ht="23.25" customHeight="1">
      <c r="A17" s="96" t="s">
        <v>90</v>
      </c>
      <c r="B17" s="703"/>
      <c r="C17" s="704">
        <v>241</v>
      </c>
      <c r="D17" s="703"/>
      <c r="E17" s="705"/>
      <c r="F17" s="706"/>
      <c r="G17" s="705">
        <v>99.4</v>
      </c>
      <c r="H17" s="703"/>
      <c r="I17" s="703"/>
      <c r="J17" s="714">
        <v>2</v>
      </c>
      <c r="K17" s="704">
        <v>265.9</v>
      </c>
      <c r="L17" s="703"/>
      <c r="M17" s="703"/>
      <c r="N17" s="714"/>
      <c r="O17" s="703"/>
      <c r="P17" s="703"/>
      <c r="Q17" s="703"/>
      <c r="R17" s="83">
        <f t="shared" si="2"/>
        <v>2</v>
      </c>
      <c r="S17" s="287">
        <f t="shared" si="2"/>
        <v>606.3</v>
      </c>
      <c r="T17"/>
      <c r="U17"/>
      <c r="V17"/>
      <c r="W17"/>
      <c r="X17"/>
      <c r="Y17"/>
      <c r="Z17"/>
      <c r="AA17"/>
      <c r="AB17"/>
      <c r="AC17"/>
      <c r="AD17"/>
      <c r="AE17"/>
      <c r="AF17"/>
      <c r="AG17"/>
      <c r="AH17"/>
      <c r="AI17"/>
      <c r="AJ17"/>
      <c r="AK17"/>
      <c r="AL17"/>
    </row>
    <row r="18" spans="1:38" s="40" customFormat="1" ht="23.25" customHeight="1">
      <c r="A18" s="96" t="s">
        <v>111</v>
      </c>
      <c r="B18" s="703">
        <v>3</v>
      </c>
      <c r="C18" s="704">
        <v>266.3</v>
      </c>
      <c r="D18" s="703">
        <v>1</v>
      </c>
      <c r="E18" s="705">
        <v>298.6</v>
      </c>
      <c r="F18" s="703"/>
      <c r="G18" s="705"/>
      <c r="H18" s="703"/>
      <c r="I18" s="703"/>
      <c r="J18" s="703"/>
      <c r="K18" s="704">
        <v>435.2</v>
      </c>
      <c r="L18" s="703"/>
      <c r="M18" s="703"/>
      <c r="N18" s="703"/>
      <c r="O18" s="703"/>
      <c r="P18" s="703">
        <v>1</v>
      </c>
      <c r="Q18" s="703">
        <v>156.7</v>
      </c>
      <c r="R18" s="83">
        <f t="shared" si="2"/>
        <v>5</v>
      </c>
      <c r="S18" s="287">
        <f t="shared" si="2"/>
        <v>1156.8000000000002</v>
      </c>
      <c r="T18"/>
      <c r="U18"/>
      <c r="V18"/>
      <c r="W18"/>
      <c r="X18"/>
      <c r="Y18"/>
      <c r="Z18"/>
      <c r="AA18"/>
      <c r="AB18"/>
      <c r="AC18"/>
      <c r="AD18"/>
      <c r="AE18"/>
      <c r="AF18"/>
      <c r="AG18"/>
      <c r="AH18"/>
      <c r="AI18"/>
      <c r="AJ18"/>
      <c r="AK18"/>
      <c r="AL18"/>
    </row>
    <row r="19" spans="1:38" s="290" customFormat="1" ht="23.25" customHeight="1">
      <c r="A19" s="96" t="s">
        <v>91</v>
      </c>
      <c r="B19" s="703">
        <v>3</v>
      </c>
      <c r="C19" s="704">
        <v>728</v>
      </c>
      <c r="D19" s="703"/>
      <c r="E19" s="705"/>
      <c r="F19" s="703">
        <v>2</v>
      </c>
      <c r="G19" s="705">
        <v>670.2</v>
      </c>
      <c r="H19" s="703"/>
      <c r="I19" s="703">
        <v>161.6</v>
      </c>
      <c r="J19" s="714">
        <v>1</v>
      </c>
      <c r="K19" s="704">
        <v>765.4</v>
      </c>
      <c r="L19" s="703"/>
      <c r="M19" s="703"/>
      <c r="N19" s="703"/>
      <c r="O19" s="703">
        <v>58</v>
      </c>
      <c r="P19" s="703"/>
      <c r="Q19" s="703"/>
      <c r="R19" s="83">
        <f t="shared" si="2"/>
        <v>6</v>
      </c>
      <c r="S19" s="287">
        <f t="shared" si="2"/>
        <v>2383.2</v>
      </c>
      <c r="T19" s="156"/>
      <c r="U19" s="156"/>
      <c r="V19" s="156"/>
      <c r="W19" s="156"/>
      <c r="X19" s="156"/>
      <c r="Y19" s="156"/>
      <c r="Z19" s="156"/>
      <c r="AA19" s="156"/>
      <c r="AB19" s="156"/>
      <c r="AC19" s="156"/>
      <c r="AD19" s="156"/>
      <c r="AE19" s="156"/>
      <c r="AF19" s="156"/>
      <c r="AG19" s="156"/>
      <c r="AH19" s="156"/>
      <c r="AI19" s="156"/>
      <c r="AJ19" s="156"/>
      <c r="AK19" s="156"/>
      <c r="AL19" s="156"/>
    </row>
    <row r="20" spans="1:38" s="294" customFormat="1" ht="23.25" customHeight="1">
      <c r="A20" s="14" t="s">
        <v>238</v>
      </c>
      <c r="B20" s="707"/>
      <c r="C20" s="715"/>
      <c r="D20" s="707"/>
      <c r="E20" s="716"/>
      <c r="F20" s="707"/>
      <c r="G20" s="716"/>
      <c r="H20" s="707"/>
      <c r="I20" s="717"/>
      <c r="J20" s="707"/>
      <c r="K20" s="715"/>
      <c r="L20" s="707"/>
      <c r="M20" s="717"/>
      <c r="N20" s="707"/>
      <c r="O20" s="717"/>
      <c r="P20" s="707"/>
      <c r="Q20" s="717"/>
      <c r="R20" s="81"/>
      <c r="S20" s="286"/>
      <c r="T20" s="293"/>
      <c r="U20" s="293"/>
      <c r="V20" s="293"/>
      <c r="W20" s="293"/>
      <c r="X20" s="293"/>
      <c r="Y20" s="293"/>
      <c r="Z20" s="293"/>
      <c r="AA20" s="293"/>
      <c r="AB20" s="293"/>
      <c r="AC20" s="293"/>
      <c r="AD20" s="293"/>
      <c r="AE20" s="293"/>
      <c r="AF20" s="293"/>
      <c r="AG20" s="293"/>
      <c r="AH20" s="293"/>
      <c r="AI20" s="293"/>
      <c r="AJ20" s="293"/>
      <c r="AK20" s="293"/>
      <c r="AL20" s="293"/>
    </row>
    <row r="21" spans="1:38" s="224" customFormat="1" ht="23.25" customHeight="1">
      <c r="A21" s="96" t="s">
        <v>137</v>
      </c>
      <c r="B21" s="703"/>
      <c r="C21" s="908"/>
      <c r="D21" s="703"/>
      <c r="E21" s="909"/>
      <c r="F21" s="703"/>
      <c r="G21" s="909"/>
      <c r="H21" s="703"/>
      <c r="I21" s="908"/>
      <c r="J21" s="703">
        <v>1</v>
      </c>
      <c r="K21" s="908">
        <v>791.7</v>
      </c>
      <c r="L21" s="703"/>
      <c r="M21" s="908"/>
      <c r="N21" s="703"/>
      <c r="O21" s="910"/>
      <c r="P21" s="703"/>
      <c r="Q21" s="910"/>
      <c r="R21" s="83">
        <f>SUM(B21,D21,F21,H21,J21,L21,N21,P21)</f>
        <v>1</v>
      </c>
      <c r="S21" s="287">
        <f>SUM(C21,E21,G21,I21,K21,M21,O21,Q21)</f>
        <v>791.7</v>
      </c>
      <c r="T21" s="218"/>
      <c r="U21" s="218"/>
      <c r="V21" s="218"/>
      <c r="W21" s="218"/>
      <c r="X21" s="218"/>
      <c r="Y21" s="218"/>
      <c r="Z21" s="218"/>
      <c r="AA21" s="218"/>
      <c r="AB21" s="218"/>
      <c r="AC21" s="218"/>
      <c r="AD21" s="218"/>
      <c r="AE21" s="218"/>
      <c r="AF21" s="218"/>
      <c r="AG21" s="218"/>
      <c r="AH21" s="218"/>
      <c r="AI21" s="218"/>
      <c r="AJ21" s="218"/>
      <c r="AK21" s="218"/>
      <c r="AL21" s="218"/>
    </row>
    <row r="22" spans="1:38" s="224" customFormat="1" ht="23.25" customHeight="1">
      <c r="A22" s="147" t="s">
        <v>233</v>
      </c>
      <c r="B22" s="718"/>
      <c r="C22" s="719">
        <v>291.7</v>
      </c>
      <c r="D22" s="718"/>
      <c r="E22" s="720"/>
      <c r="F22" s="718"/>
      <c r="G22" s="720"/>
      <c r="H22" s="718"/>
      <c r="I22" s="719"/>
      <c r="J22" s="718"/>
      <c r="K22" s="719"/>
      <c r="L22" s="718"/>
      <c r="M22" s="719"/>
      <c r="N22" s="718"/>
      <c r="O22" s="719">
        <v>544.3</v>
      </c>
      <c r="P22" s="718"/>
      <c r="Q22" s="721"/>
      <c r="R22" s="144">
        <f>SUM(B22,D22,F22,H22,J22,L22,N22,P22)</f>
        <v>0</v>
      </c>
      <c r="S22" s="314">
        <f>SUM(C22,E22,G22,I22,K22,M22,O22,Q22)</f>
        <v>836</v>
      </c>
      <c r="T22" s="218"/>
      <c r="U22" s="218"/>
      <c r="V22" s="218"/>
      <c r="W22" s="218"/>
      <c r="X22" s="218"/>
      <c r="Y22" s="218"/>
      <c r="Z22" s="218"/>
      <c r="AA22" s="218"/>
      <c r="AB22" s="218"/>
      <c r="AC22" s="218"/>
      <c r="AD22" s="218"/>
      <c r="AE22" s="218"/>
      <c r="AF22" s="218"/>
      <c r="AG22" s="218"/>
      <c r="AH22" s="218"/>
      <c r="AI22" s="218"/>
      <c r="AJ22" s="218"/>
      <c r="AK22" s="218"/>
      <c r="AL22" s="218"/>
    </row>
    <row r="23" spans="1:17" ht="21.75">
      <c r="A23" s="8" t="s">
        <v>235</v>
      </c>
      <c r="B23" s="722"/>
      <c r="C23" s="723"/>
      <c r="D23" s="725"/>
      <c r="E23" s="724"/>
      <c r="F23" s="726"/>
      <c r="G23" s="727"/>
      <c r="H23" s="728"/>
      <c r="I23" s="726"/>
      <c r="J23" s="726"/>
      <c r="K23" s="729"/>
      <c r="L23" s="728"/>
      <c r="M23" s="725"/>
      <c r="N23" s="728"/>
      <c r="O23" s="726"/>
      <c r="P23" s="728"/>
      <c r="Q23" s="726"/>
    </row>
    <row r="24" spans="1:19" ht="20.25" customHeight="1">
      <c r="A24" s="96" t="s">
        <v>271</v>
      </c>
      <c r="B24" s="722"/>
      <c r="C24" s="723">
        <v>295.3</v>
      </c>
      <c r="D24" s="725"/>
      <c r="E24" s="724"/>
      <c r="F24" s="726"/>
      <c r="G24" s="727"/>
      <c r="H24" s="728"/>
      <c r="I24" s="726"/>
      <c r="J24" s="726"/>
      <c r="K24" s="729"/>
      <c r="L24" s="728"/>
      <c r="M24" s="864"/>
      <c r="N24" s="728"/>
      <c r="O24" s="726"/>
      <c r="P24" s="728"/>
      <c r="Q24" s="726"/>
      <c r="R24" s="83">
        <f aca="true" t="shared" si="3" ref="R24:R38">SUM(B24,D24,F24,H24,J24,L24,N24,P24)</f>
        <v>0</v>
      </c>
      <c r="S24" s="287">
        <f aca="true" t="shared" si="4" ref="S24:S38">SUM(C24,E24,G24,I24,K24,M24,O24,Q24)</f>
        <v>295.3</v>
      </c>
    </row>
    <row r="25" spans="1:19" ht="20.25" customHeight="1">
      <c r="A25" s="96" t="s">
        <v>272</v>
      </c>
      <c r="B25" s="722">
        <v>1</v>
      </c>
      <c r="C25" s="723">
        <v>400.8</v>
      </c>
      <c r="D25" s="725"/>
      <c r="E25" s="724"/>
      <c r="F25" s="726">
        <v>1</v>
      </c>
      <c r="G25" s="727">
        <v>88.6</v>
      </c>
      <c r="H25" s="728"/>
      <c r="I25" s="726">
        <v>409.7</v>
      </c>
      <c r="J25" s="726"/>
      <c r="K25" s="729"/>
      <c r="L25" s="728"/>
      <c r="M25" s="864"/>
      <c r="N25" s="728"/>
      <c r="O25" s="726"/>
      <c r="P25" s="728"/>
      <c r="Q25" s="726"/>
      <c r="R25" s="83">
        <f t="shared" si="3"/>
        <v>2</v>
      </c>
      <c r="S25" s="287">
        <f t="shared" si="4"/>
        <v>899.0999999999999</v>
      </c>
    </row>
    <row r="26" spans="1:19" ht="20.25" customHeight="1">
      <c r="A26" s="96" t="s">
        <v>181</v>
      </c>
      <c r="B26" s="722">
        <v>2</v>
      </c>
      <c r="C26" s="723">
        <v>1148.4</v>
      </c>
      <c r="D26" s="725">
        <v>1</v>
      </c>
      <c r="E26" s="724">
        <v>464.5</v>
      </c>
      <c r="F26" s="726"/>
      <c r="G26" s="727">
        <v>349.5</v>
      </c>
      <c r="H26" s="728"/>
      <c r="I26" s="726">
        <v>608.1</v>
      </c>
      <c r="J26" s="726">
        <v>2</v>
      </c>
      <c r="K26" s="729">
        <v>1432.5</v>
      </c>
      <c r="L26" s="728"/>
      <c r="M26" s="864"/>
      <c r="N26" s="728">
        <v>2</v>
      </c>
      <c r="O26" s="726">
        <v>755.9</v>
      </c>
      <c r="P26" s="728">
        <v>1</v>
      </c>
      <c r="Q26" s="726">
        <v>188</v>
      </c>
      <c r="R26" s="83">
        <f t="shared" si="3"/>
        <v>8</v>
      </c>
      <c r="S26" s="287">
        <f t="shared" si="4"/>
        <v>4946.9</v>
      </c>
    </row>
    <row r="27" spans="1:19" ht="18.75" customHeight="1">
      <c r="A27" s="96" t="s">
        <v>197</v>
      </c>
      <c r="B27" s="722"/>
      <c r="C27" s="723"/>
      <c r="D27" s="725"/>
      <c r="E27" s="724"/>
      <c r="F27" s="726"/>
      <c r="G27" s="727"/>
      <c r="H27" s="728"/>
      <c r="I27" s="726"/>
      <c r="J27" s="726"/>
      <c r="K27" s="729">
        <v>714.6</v>
      </c>
      <c r="L27" s="728"/>
      <c r="M27" s="723"/>
      <c r="N27" s="728"/>
      <c r="O27" s="726">
        <v>80.9</v>
      </c>
      <c r="P27" s="728"/>
      <c r="Q27" s="726"/>
      <c r="R27" s="83">
        <f t="shared" si="3"/>
        <v>0</v>
      </c>
      <c r="S27" s="287">
        <f t="shared" si="4"/>
        <v>795.5</v>
      </c>
    </row>
    <row r="28" spans="1:19" ht="18" customHeight="1">
      <c r="A28" s="96" t="s">
        <v>274</v>
      </c>
      <c r="B28" s="722"/>
      <c r="C28" s="723"/>
      <c r="D28" s="725"/>
      <c r="E28" s="724"/>
      <c r="F28" s="726"/>
      <c r="G28" s="727">
        <v>195.6</v>
      </c>
      <c r="H28" s="728"/>
      <c r="I28" s="726"/>
      <c r="J28" s="726"/>
      <c r="K28" s="729"/>
      <c r="L28" s="728"/>
      <c r="M28" s="723"/>
      <c r="N28" s="728"/>
      <c r="O28" s="726"/>
      <c r="P28" s="728"/>
      <c r="Q28" s="726"/>
      <c r="R28" s="83">
        <f t="shared" si="3"/>
        <v>0</v>
      </c>
      <c r="S28" s="287">
        <f t="shared" si="4"/>
        <v>195.6</v>
      </c>
    </row>
    <row r="29" spans="1:19" ht="18.75" customHeight="1" hidden="1">
      <c r="A29" s="96" t="s">
        <v>237</v>
      </c>
      <c r="B29" s="722"/>
      <c r="C29" s="723"/>
      <c r="D29" s="725"/>
      <c r="E29" s="724"/>
      <c r="F29" s="726"/>
      <c r="G29" s="727"/>
      <c r="H29" s="728"/>
      <c r="I29" s="726"/>
      <c r="J29" s="726"/>
      <c r="K29" s="729"/>
      <c r="L29" s="728"/>
      <c r="M29" s="723"/>
      <c r="N29" s="728"/>
      <c r="O29" s="726"/>
      <c r="P29" s="728"/>
      <c r="Q29" s="726"/>
      <c r="R29" s="83">
        <f t="shared" si="3"/>
        <v>0</v>
      </c>
      <c r="S29" s="287">
        <f t="shared" si="4"/>
        <v>0</v>
      </c>
    </row>
    <row r="30" spans="1:19" ht="18.75" customHeight="1">
      <c r="A30" s="96" t="s">
        <v>112</v>
      </c>
      <c r="B30" s="722"/>
      <c r="C30" s="723"/>
      <c r="D30" s="725"/>
      <c r="E30" s="724"/>
      <c r="F30" s="726"/>
      <c r="G30" s="727"/>
      <c r="H30" s="728"/>
      <c r="I30" s="726"/>
      <c r="J30" s="726"/>
      <c r="K30" s="729">
        <v>486.9</v>
      </c>
      <c r="L30" s="728"/>
      <c r="M30" s="723"/>
      <c r="N30" s="728"/>
      <c r="O30" s="726"/>
      <c r="P30" s="728"/>
      <c r="Q30" s="726"/>
      <c r="R30" s="83">
        <f t="shared" si="3"/>
        <v>0</v>
      </c>
      <c r="S30" s="287">
        <f t="shared" si="4"/>
        <v>486.9</v>
      </c>
    </row>
    <row r="31" spans="1:19" ht="18.75" customHeight="1">
      <c r="A31" s="96" t="s">
        <v>275</v>
      </c>
      <c r="B31" s="722"/>
      <c r="C31" s="723"/>
      <c r="D31" s="725"/>
      <c r="E31" s="724"/>
      <c r="F31" s="726"/>
      <c r="G31" s="727"/>
      <c r="H31" s="728"/>
      <c r="I31" s="726">
        <v>332.8</v>
      </c>
      <c r="J31" s="726"/>
      <c r="K31" s="729">
        <v>514</v>
      </c>
      <c r="L31" s="728"/>
      <c r="M31" s="723"/>
      <c r="N31" s="728"/>
      <c r="O31" s="726">
        <v>513.1</v>
      </c>
      <c r="P31" s="728"/>
      <c r="Q31" s="726"/>
      <c r="R31" s="83">
        <f t="shared" si="3"/>
        <v>0</v>
      </c>
      <c r="S31" s="287">
        <f t="shared" si="4"/>
        <v>1359.9</v>
      </c>
    </row>
    <row r="32" spans="1:19" ht="18.75" customHeight="1">
      <c r="A32" s="96" t="s">
        <v>198</v>
      </c>
      <c r="B32" s="722"/>
      <c r="C32" s="723">
        <v>374</v>
      </c>
      <c r="D32" s="725"/>
      <c r="E32" s="724">
        <v>275.1</v>
      </c>
      <c r="F32" s="726"/>
      <c r="G32" s="727">
        <v>997.6</v>
      </c>
      <c r="H32" s="728"/>
      <c r="I32" s="726">
        <v>332.8</v>
      </c>
      <c r="J32" s="726"/>
      <c r="K32" s="729">
        <v>259.1</v>
      </c>
      <c r="L32" s="728"/>
      <c r="M32" s="723"/>
      <c r="N32" s="728"/>
      <c r="O32" s="726"/>
      <c r="P32" s="728"/>
      <c r="Q32" s="726"/>
      <c r="R32" s="83">
        <f t="shared" si="3"/>
        <v>0</v>
      </c>
      <c r="S32" s="287">
        <f t="shared" si="4"/>
        <v>2238.6</v>
      </c>
    </row>
    <row r="33" spans="1:19" ht="18.75" customHeight="1">
      <c r="A33" s="96" t="s">
        <v>258</v>
      </c>
      <c r="B33" s="722">
        <v>1</v>
      </c>
      <c r="C33" s="723">
        <v>170.3</v>
      </c>
      <c r="D33" s="725"/>
      <c r="E33" s="724"/>
      <c r="F33" s="726"/>
      <c r="G33" s="727"/>
      <c r="H33" s="728"/>
      <c r="I33" s="726"/>
      <c r="J33" s="726"/>
      <c r="K33" s="729"/>
      <c r="L33" s="728"/>
      <c r="M33" s="723"/>
      <c r="N33" s="728"/>
      <c r="O33" s="726"/>
      <c r="P33" s="728"/>
      <c r="Q33" s="726"/>
      <c r="R33" s="83">
        <f t="shared" si="3"/>
        <v>1</v>
      </c>
      <c r="S33" s="287">
        <f t="shared" si="4"/>
        <v>170.3</v>
      </c>
    </row>
    <row r="34" spans="1:19" ht="18.75" customHeight="1">
      <c r="A34" s="96" t="s">
        <v>528</v>
      </c>
      <c r="B34" s="722">
        <v>1</v>
      </c>
      <c r="C34" s="723">
        <v>85.7</v>
      </c>
      <c r="D34" s="725"/>
      <c r="E34" s="724"/>
      <c r="F34" s="726"/>
      <c r="G34" s="727"/>
      <c r="H34" s="728">
        <v>1</v>
      </c>
      <c r="I34" s="726">
        <v>172.7</v>
      </c>
      <c r="J34" s="726"/>
      <c r="K34" s="729"/>
      <c r="L34" s="728"/>
      <c r="M34" s="723"/>
      <c r="N34" s="728"/>
      <c r="O34" s="726"/>
      <c r="P34" s="728"/>
      <c r="Q34" s="726"/>
      <c r="R34" s="83">
        <f t="shared" si="3"/>
        <v>2</v>
      </c>
      <c r="S34" s="287">
        <f t="shared" si="4"/>
        <v>258.4</v>
      </c>
    </row>
    <row r="35" spans="1:19" ht="18.75" customHeight="1">
      <c r="A35" s="96" t="s">
        <v>529</v>
      </c>
      <c r="B35" s="722">
        <v>2</v>
      </c>
      <c r="C35" s="723">
        <v>1142.4</v>
      </c>
      <c r="D35" s="725">
        <v>1</v>
      </c>
      <c r="E35" s="724">
        <v>108.7</v>
      </c>
      <c r="F35" s="726">
        <v>1</v>
      </c>
      <c r="G35" s="727">
        <v>113.8</v>
      </c>
      <c r="H35" s="728"/>
      <c r="I35" s="726"/>
      <c r="J35" s="726">
        <v>1</v>
      </c>
      <c r="K35" s="729">
        <v>103.4</v>
      </c>
      <c r="L35" s="728"/>
      <c r="M35" s="723"/>
      <c r="N35" s="728">
        <v>1</v>
      </c>
      <c r="O35" s="726">
        <v>164.7</v>
      </c>
      <c r="P35" s="728"/>
      <c r="Q35" s="726"/>
      <c r="R35" s="83">
        <f t="shared" si="3"/>
        <v>6</v>
      </c>
      <c r="S35" s="287">
        <f t="shared" si="4"/>
        <v>1633.0000000000002</v>
      </c>
    </row>
    <row r="36" spans="1:19" ht="18.75" customHeight="1">
      <c r="A36" s="96" t="s">
        <v>113</v>
      </c>
      <c r="B36" s="722"/>
      <c r="C36" s="723">
        <v>548.7</v>
      </c>
      <c r="D36" s="725"/>
      <c r="E36" s="724">
        <v>276</v>
      </c>
      <c r="F36" s="726"/>
      <c r="G36" s="727">
        <v>254.4</v>
      </c>
      <c r="H36" s="728"/>
      <c r="I36" s="726"/>
      <c r="J36" s="726"/>
      <c r="K36" s="729"/>
      <c r="L36" s="728"/>
      <c r="M36" s="723"/>
      <c r="N36" s="728"/>
      <c r="O36" s="726"/>
      <c r="P36" s="728"/>
      <c r="Q36" s="726"/>
      <c r="R36" s="83">
        <f t="shared" si="3"/>
        <v>0</v>
      </c>
      <c r="S36" s="287">
        <f t="shared" si="4"/>
        <v>1079.1000000000001</v>
      </c>
    </row>
    <row r="37" spans="1:19" ht="18.75" customHeight="1">
      <c r="A37" s="96" t="s">
        <v>123</v>
      </c>
      <c r="B37" s="722"/>
      <c r="C37" s="723">
        <v>681.7</v>
      </c>
      <c r="D37" s="725"/>
      <c r="E37" s="724">
        <v>536.5</v>
      </c>
      <c r="F37" s="726"/>
      <c r="G37" s="727">
        <v>902.5</v>
      </c>
      <c r="H37" s="728"/>
      <c r="I37" s="726"/>
      <c r="J37" s="726"/>
      <c r="K37" s="729"/>
      <c r="L37" s="728"/>
      <c r="M37" s="723"/>
      <c r="N37" s="728"/>
      <c r="O37" s="726">
        <v>56.5</v>
      </c>
      <c r="P37" s="728"/>
      <c r="Q37" s="726"/>
      <c r="R37" s="83">
        <f t="shared" si="3"/>
        <v>0</v>
      </c>
      <c r="S37" s="287">
        <f t="shared" si="4"/>
        <v>2177.2</v>
      </c>
    </row>
    <row r="38" spans="1:19" ht="18.75" customHeight="1">
      <c r="A38" s="96" t="s">
        <v>114</v>
      </c>
      <c r="B38" s="722"/>
      <c r="C38" s="723">
        <v>215.4</v>
      </c>
      <c r="D38" s="725"/>
      <c r="E38" s="724"/>
      <c r="F38" s="726"/>
      <c r="G38" s="727">
        <v>245.7</v>
      </c>
      <c r="H38" s="728"/>
      <c r="I38" s="726"/>
      <c r="J38" s="726"/>
      <c r="K38" s="729"/>
      <c r="L38" s="728"/>
      <c r="M38" s="723"/>
      <c r="N38" s="728"/>
      <c r="O38" s="726"/>
      <c r="P38" s="728"/>
      <c r="Q38" s="726"/>
      <c r="R38" s="83">
        <f t="shared" si="3"/>
        <v>0</v>
      </c>
      <c r="S38" s="287">
        <f t="shared" si="4"/>
        <v>461.1</v>
      </c>
    </row>
    <row r="39" spans="1:38" s="294" customFormat="1" ht="23.25" customHeight="1">
      <c r="A39" s="14" t="s">
        <v>260</v>
      </c>
      <c r="B39" s="707"/>
      <c r="C39" s="715"/>
      <c r="D39" s="707"/>
      <c r="E39" s="716"/>
      <c r="F39" s="707"/>
      <c r="G39" s="716"/>
      <c r="H39" s="707"/>
      <c r="I39" s="717"/>
      <c r="J39" s="707"/>
      <c r="K39" s="715"/>
      <c r="L39" s="707"/>
      <c r="M39" s="717"/>
      <c r="N39" s="707"/>
      <c r="O39" s="717"/>
      <c r="P39" s="707"/>
      <c r="Q39" s="717"/>
      <c r="R39" s="81"/>
      <c r="S39" s="286"/>
      <c r="T39" s="293"/>
      <c r="U39" s="293"/>
      <c r="V39" s="293"/>
      <c r="W39" s="293"/>
      <c r="X39" s="293"/>
      <c r="Y39" s="293"/>
      <c r="Z39" s="293"/>
      <c r="AA39" s="293"/>
      <c r="AB39" s="293"/>
      <c r="AC39" s="293"/>
      <c r="AD39" s="293"/>
      <c r="AE39" s="293"/>
      <c r="AF39" s="293"/>
      <c r="AG39" s="293"/>
      <c r="AH39" s="293"/>
      <c r="AI39" s="293"/>
      <c r="AJ39" s="293"/>
      <c r="AK39" s="293"/>
      <c r="AL39" s="293"/>
    </row>
    <row r="40" spans="1:38" s="224" customFormat="1" ht="23.25" customHeight="1" thickBot="1">
      <c r="A40" s="147" t="s">
        <v>236</v>
      </c>
      <c r="B40" s="718"/>
      <c r="C40" s="719">
        <v>201.1</v>
      </c>
      <c r="D40" s="718"/>
      <c r="E40" s="720"/>
      <c r="F40" s="718"/>
      <c r="G40" s="720"/>
      <c r="H40" s="718"/>
      <c r="I40" s="719"/>
      <c r="J40" s="718"/>
      <c r="K40" s="719"/>
      <c r="L40" s="718"/>
      <c r="M40" s="719"/>
      <c r="N40" s="718"/>
      <c r="O40" s="721"/>
      <c r="P40" s="718"/>
      <c r="Q40" s="721"/>
      <c r="R40" s="144">
        <f>SUM(B40,D40,F40,H40,J40,L40,N40,P40)</f>
        <v>0</v>
      </c>
      <c r="S40" s="314">
        <f>SUM(C40,E40,G40,I40,K40,M40,O40,Q40)</f>
        <v>201.1</v>
      </c>
      <c r="T40" s="218"/>
      <c r="U40" s="218"/>
      <c r="V40" s="218"/>
      <c r="W40" s="218"/>
      <c r="X40" s="218"/>
      <c r="Y40" s="218"/>
      <c r="Z40" s="218"/>
      <c r="AA40" s="218"/>
      <c r="AB40" s="218"/>
      <c r="AC40" s="218"/>
      <c r="AD40" s="218"/>
      <c r="AE40" s="218"/>
      <c r="AF40" s="218"/>
      <c r="AG40" s="218"/>
      <c r="AH40" s="218"/>
      <c r="AI40" s="218"/>
      <c r="AJ40" s="218"/>
      <c r="AK40" s="218"/>
      <c r="AL40" s="218"/>
    </row>
    <row r="41" spans="1:38" s="40" customFormat="1" ht="22.5" customHeight="1" thickBot="1">
      <c r="A41" s="223" t="s">
        <v>53</v>
      </c>
      <c r="B41" s="141">
        <f aca="true" t="shared" si="5" ref="B41:S41">SUM(B5:B40)</f>
        <v>15</v>
      </c>
      <c r="C41" s="279">
        <f t="shared" si="5"/>
        <v>7119.299999999999</v>
      </c>
      <c r="D41" s="141">
        <f t="shared" si="5"/>
        <v>3</v>
      </c>
      <c r="E41" s="279">
        <f t="shared" si="5"/>
        <v>2666.7</v>
      </c>
      <c r="F41" s="141">
        <f t="shared" si="5"/>
        <v>8</v>
      </c>
      <c r="G41" s="279">
        <f t="shared" si="5"/>
        <v>4449.3</v>
      </c>
      <c r="H41" s="141">
        <f t="shared" si="5"/>
        <v>2</v>
      </c>
      <c r="I41" s="279">
        <f t="shared" si="5"/>
        <v>2593.9</v>
      </c>
      <c r="J41" s="141">
        <f t="shared" si="5"/>
        <v>9</v>
      </c>
      <c r="K41" s="279">
        <f t="shared" si="5"/>
        <v>5916.8</v>
      </c>
      <c r="L41" s="141">
        <f t="shared" si="5"/>
        <v>0</v>
      </c>
      <c r="M41" s="279">
        <f t="shared" si="5"/>
        <v>0</v>
      </c>
      <c r="N41" s="141">
        <f t="shared" si="5"/>
        <v>3</v>
      </c>
      <c r="O41" s="279">
        <f t="shared" si="5"/>
        <v>2643.3999999999996</v>
      </c>
      <c r="P41" s="141">
        <f t="shared" si="5"/>
        <v>3</v>
      </c>
      <c r="Q41" s="279">
        <f t="shared" si="5"/>
        <v>823</v>
      </c>
      <c r="R41" s="141">
        <f t="shared" si="5"/>
        <v>43</v>
      </c>
      <c r="S41" s="279">
        <f t="shared" si="5"/>
        <v>26212.399999999998</v>
      </c>
      <c r="T41"/>
      <c r="U41"/>
      <c r="V41"/>
      <c r="W41"/>
      <c r="X41"/>
      <c r="Y41"/>
      <c r="Z41"/>
      <c r="AA41"/>
      <c r="AB41"/>
      <c r="AC41"/>
      <c r="AD41"/>
      <c r="AE41"/>
      <c r="AF41"/>
      <c r="AG41"/>
      <c r="AH41"/>
      <c r="AI41"/>
      <c r="AJ41"/>
      <c r="AK41"/>
      <c r="AL41"/>
    </row>
    <row r="42" spans="1:38" s="56" customFormat="1" ht="18.75" customHeight="1">
      <c r="A42" s="67"/>
      <c r="B42" s="65"/>
      <c r="C42" s="282"/>
      <c r="D42" s="66"/>
      <c r="E42" s="292"/>
      <c r="G42" s="288"/>
      <c r="H42" s="31"/>
      <c r="K42" s="280"/>
      <c r="L42" s="31"/>
      <c r="M42" s="24"/>
      <c r="N42" s="31"/>
      <c r="P42" s="31"/>
      <c r="R42" s="31"/>
      <c r="S42" s="288"/>
      <c r="T42"/>
      <c r="U42"/>
      <c r="V42"/>
      <c r="W42"/>
      <c r="X42"/>
      <c r="Y42"/>
      <c r="Z42"/>
      <c r="AA42"/>
      <c r="AB42"/>
      <c r="AC42"/>
      <c r="AD42"/>
      <c r="AE42"/>
      <c r="AF42"/>
      <c r="AG42"/>
      <c r="AH42"/>
      <c r="AI42"/>
      <c r="AJ42"/>
      <c r="AK42"/>
      <c r="AL42"/>
    </row>
    <row r="43" spans="3:19" ht="18" customHeight="1">
      <c r="C43" s="281"/>
      <c r="E43" s="262"/>
      <c r="G43" s="262"/>
      <c r="K43" s="281"/>
      <c r="S43" s="262"/>
    </row>
    <row r="44" spans="3:19" ht="20.25" customHeight="1">
      <c r="C44" s="281"/>
      <c r="E44" s="262"/>
      <c r="G44" s="262"/>
      <c r="K44" s="281"/>
      <c r="S44" s="262"/>
    </row>
    <row r="45" spans="3:19" ht="21" customHeight="1">
      <c r="C45" s="281"/>
      <c r="E45" s="262"/>
      <c r="G45" s="262"/>
      <c r="K45" s="281"/>
      <c r="S45" s="262"/>
    </row>
    <row r="46" spans="3:19" ht="21" customHeight="1">
      <c r="C46" s="281"/>
      <c r="E46" s="262"/>
      <c r="G46" s="262"/>
      <c r="K46" s="281"/>
      <c r="S46" s="262"/>
    </row>
    <row r="47" spans="3:19" ht="21" customHeight="1">
      <c r="C47" s="281"/>
      <c r="E47" s="262"/>
      <c r="G47" s="262"/>
      <c r="K47" s="281"/>
      <c r="S47" s="262"/>
    </row>
    <row r="48" spans="3:19" ht="21" customHeight="1">
      <c r="C48" s="281"/>
      <c r="E48" s="262"/>
      <c r="G48" s="262"/>
      <c r="K48" s="281"/>
      <c r="S48" s="262"/>
    </row>
    <row r="49" spans="3:19" ht="21" customHeight="1">
      <c r="C49" s="281"/>
      <c r="E49" s="262"/>
      <c r="G49" s="262"/>
      <c r="K49" s="281"/>
      <c r="S49" s="262"/>
    </row>
    <row r="50" spans="3:19" ht="21" customHeight="1">
      <c r="C50" s="281"/>
      <c r="E50" s="262"/>
      <c r="G50" s="262"/>
      <c r="K50" s="281"/>
      <c r="S50" s="262"/>
    </row>
    <row r="51" spans="3:19" ht="21" customHeight="1">
      <c r="C51" s="281"/>
      <c r="E51" s="262"/>
      <c r="G51" s="262"/>
      <c r="K51" s="281"/>
      <c r="S51" s="262"/>
    </row>
    <row r="52" spans="3:19" ht="21" customHeight="1">
      <c r="C52" s="281"/>
      <c r="E52" s="262"/>
      <c r="G52" s="262"/>
      <c r="K52" s="281"/>
      <c r="S52" s="262"/>
    </row>
    <row r="53" spans="3:19" ht="21" customHeight="1">
      <c r="C53" s="281"/>
      <c r="E53" s="262"/>
      <c r="G53" s="262"/>
      <c r="K53" s="281"/>
      <c r="S53" s="262"/>
    </row>
    <row r="54" spans="3:19" ht="21" customHeight="1">
      <c r="C54" s="281"/>
      <c r="E54" s="262"/>
      <c r="G54" s="262"/>
      <c r="K54" s="281"/>
      <c r="S54" s="262"/>
    </row>
    <row r="55" spans="3:19" ht="21" customHeight="1">
      <c r="C55" s="281"/>
      <c r="E55" s="262"/>
      <c r="G55" s="262"/>
      <c r="K55" s="281"/>
      <c r="S55" s="262"/>
    </row>
    <row r="56" spans="3:19" ht="21" customHeight="1">
      <c r="C56" s="281"/>
      <c r="E56" s="262"/>
      <c r="G56" s="262"/>
      <c r="K56" s="281"/>
      <c r="S56" s="262"/>
    </row>
    <row r="57" spans="3:19" ht="21" customHeight="1">
      <c r="C57" s="281"/>
      <c r="E57" s="262"/>
      <c r="G57" s="262"/>
      <c r="K57" s="281"/>
      <c r="S57" s="262"/>
    </row>
    <row r="58" spans="3:19" ht="21" customHeight="1">
      <c r="C58" s="281"/>
      <c r="E58" s="262"/>
      <c r="G58" s="262"/>
      <c r="K58" s="281"/>
      <c r="S58" s="262"/>
    </row>
    <row r="59" spans="3:19" ht="21" customHeight="1">
      <c r="C59" s="281"/>
      <c r="E59" s="262"/>
      <c r="G59" s="262"/>
      <c r="K59" s="281"/>
      <c r="S59" s="262"/>
    </row>
    <row r="60" spans="3:19" ht="21" customHeight="1">
      <c r="C60" s="281"/>
      <c r="E60" s="262"/>
      <c r="G60" s="262"/>
      <c r="K60" s="281"/>
      <c r="S60" s="262"/>
    </row>
    <row r="61" spans="3:19" ht="21" customHeight="1">
      <c r="C61" s="281"/>
      <c r="E61" s="262"/>
      <c r="G61" s="262"/>
      <c r="K61" s="281"/>
      <c r="S61" s="262"/>
    </row>
    <row r="62" spans="3:19" ht="21" customHeight="1">
      <c r="C62" s="281"/>
      <c r="E62" s="262"/>
      <c r="G62" s="262"/>
      <c r="K62" s="281"/>
      <c r="S62" s="262"/>
    </row>
    <row r="63" spans="3:19" ht="21" customHeight="1">
      <c r="C63" s="281"/>
      <c r="E63" s="262"/>
      <c r="G63" s="262"/>
      <c r="K63" s="281"/>
      <c r="S63" s="262"/>
    </row>
    <row r="64" spans="3:19" ht="21" customHeight="1">
      <c r="C64" s="281"/>
      <c r="E64" s="262"/>
      <c r="G64" s="262"/>
      <c r="K64" s="281"/>
      <c r="S64" s="262"/>
    </row>
    <row r="65" spans="3:19" ht="21" customHeight="1">
      <c r="C65" s="281"/>
      <c r="E65" s="262"/>
      <c r="G65" s="262"/>
      <c r="K65" s="281"/>
      <c r="S65" s="262"/>
    </row>
    <row r="66" spans="3:19" ht="21" customHeight="1">
      <c r="C66" s="281"/>
      <c r="E66" s="262"/>
      <c r="G66" s="262"/>
      <c r="K66" s="281"/>
      <c r="S66" s="262"/>
    </row>
    <row r="67" spans="3:19" ht="21" customHeight="1">
      <c r="C67" s="281"/>
      <c r="E67" s="262"/>
      <c r="G67" s="262"/>
      <c r="K67" s="281"/>
      <c r="S67" s="262"/>
    </row>
    <row r="68" spans="3:19" ht="21" customHeight="1">
      <c r="C68" s="281"/>
      <c r="E68" s="262"/>
      <c r="G68" s="262"/>
      <c r="K68" s="281"/>
      <c r="S68" s="262"/>
    </row>
    <row r="69" spans="3:19" ht="21" customHeight="1">
      <c r="C69" s="281"/>
      <c r="E69" s="262"/>
      <c r="G69" s="262"/>
      <c r="K69" s="281"/>
      <c r="S69" s="262"/>
    </row>
    <row r="70" spans="3:19" ht="21" customHeight="1">
      <c r="C70" s="281"/>
      <c r="E70" s="262"/>
      <c r="G70" s="262"/>
      <c r="K70" s="281"/>
      <c r="S70" s="262"/>
    </row>
  </sheetData>
  <sheetProtection/>
  <mergeCells count="10">
    <mergeCell ref="A2:A3"/>
    <mergeCell ref="B2:C2"/>
    <mergeCell ref="D2:E2"/>
    <mergeCell ref="P2:Q2"/>
    <mergeCell ref="R2:S2"/>
    <mergeCell ref="J2:K2"/>
    <mergeCell ref="L2:M2"/>
    <mergeCell ref="N2:O2"/>
    <mergeCell ref="F2:G2"/>
    <mergeCell ref="H2:I2"/>
  </mergeCells>
  <printOptions horizontalCentered="1"/>
  <pageMargins left="0" right="0" top="0.4724409448818898" bottom="0.3937007874015748" header="0.4330708661417323" footer="0.4330708661417323"/>
  <pageSetup horizontalDpi="600" verticalDpi="600" orientation="landscape" paperSize="9" scale="85" r:id="rId1"/>
  <rowBreaks count="1" manualBreakCount="1">
    <brk id="22" max="18" man="1"/>
  </rowBreaks>
</worksheet>
</file>

<file path=xl/worksheets/sheet7.xml><?xml version="1.0" encoding="utf-8"?>
<worksheet xmlns="http://schemas.openxmlformats.org/spreadsheetml/2006/main" xmlns:r="http://schemas.openxmlformats.org/officeDocument/2006/relationships">
  <sheetPr>
    <tabColor indexed="45"/>
  </sheetPr>
  <dimension ref="A1:AS33"/>
  <sheetViews>
    <sheetView zoomScalePageLayoutView="0" workbookViewId="0" topLeftCell="A1">
      <selection activeCell="M7" sqref="M7"/>
    </sheetView>
  </sheetViews>
  <sheetFormatPr defaultColWidth="9.140625" defaultRowHeight="12.75"/>
  <cols>
    <col min="1" max="1" width="18.7109375" style="98" customWidth="1"/>
    <col min="2" max="2" width="4.57421875" style="122" customWidth="1"/>
    <col min="3" max="3" width="8.140625" style="291" customWidth="1"/>
    <col min="4" max="4" width="4.7109375" style="123" customWidth="1"/>
    <col min="5" max="5" width="6.140625" style="291" customWidth="1"/>
    <col min="6" max="6" width="4.7109375" style="123" bestFit="1" customWidth="1"/>
    <col min="7" max="7" width="7.7109375" style="291" customWidth="1"/>
    <col min="8" max="8" width="4.8515625" style="123" customWidth="1"/>
    <col min="9" max="9" width="7.00390625" style="123" customWidth="1"/>
    <col min="10" max="10" width="4.7109375" style="123" customWidth="1"/>
    <col min="11" max="11" width="7.00390625" style="291" customWidth="1"/>
    <col min="12" max="12" width="4.57421875" style="123" customWidth="1"/>
    <col min="13" max="13" width="8.7109375" style="291" customWidth="1"/>
    <col min="14" max="14" width="5.28125" style="124" customWidth="1"/>
    <col min="15" max="15" width="9.28125" style="291" customWidth="1"/>
    <col min="16" max="16" width="4.421875" style="123" customWidth="1"/>
    <col min="17" max="17" width="10.28125" style="123" customWidth="1"/>
    <col min="18" max="18" width="8.140625" style="123" customWidth="1"/>
    <col min="19" max="19" width="8.00390625" style="291" customWidth="1"/>
    <col min="20" max="20" width="5.28125" style="98" customWidth="1"/>
    <col min="21" max="21" width="10.00390625" style="0" customWidth="1"/>
    <col min="22" max="22" width="20.28125" style="0" customWidth="1"/>
    <col min="23" max="23" width="6.140625" style="0" customWidth="1"/>
    <col min="24" max="24" width="8.28125" style="0" customWidth="1"/>
    <col min="25" max="25" width="5.28125" style="0" customWidth="1"/>
    <col min="26" max="26" width="8.421875" style="0" customWidth="1"/>
    <col min="27" max="27" width="5.57421875" style="0" customWidth="1"/>
    <col min="28" max="28" width="7.140625" style="0" customWidth="1"/>
    <col min="29" max="29" width="5.00390625" style="0" customWidth="1"/>
    <col min="30" max="30" width="8.00390625" style="0" customWidth="1"/>
    <col min="31" max="31" width="5.00390625" style="0" customWidth="1"/>
    <col min="32" max="32" width="8.28125" style="0" customWidth="1"/>
    <col min="33" max="33" width="5.28125" style="0" customWidth="1"/>
    <col min="35" max="35" width="5.7109375" style="0" customWidth="1"/>
    <col min="36" max="36" width="7.140625" style="0" customWidth="1"/>
    <col min="37" max="37" width="5.8515625" style="0" customWidth="1"/>
    <col min="39" max="39" width="5.57421875" style="0" customWidth="1"/>
    <col min="40" max="40" width="8.7109375" style="0" customWidth="1"/>
    <col min="41" max="41" width="6.140625" style="0" customWidth="1"/>
    <col min="46" max="16384" width="9.140625" style="98" customWidth="1"/>
  </cols>
  <sheetData>
    <row r="1" spans="1:45" s="56" customFormat="1" ht="25.5" customHeight="1">
      <c r="A1" s="158" t="s">
        <v>397</v>
      </c>
      <c r="B1" s="122"/>
      <c r="C1" s="291"/>
      <c r="D1" s="123"/>
      <c r="E1" s="291"/>
      <c r="F1" s="123"/>
      <c r="G1" s="291"/>
      <c r="H1" s="123"/>
      <c r="I1" s="123"/>
      <c r="J1" s="123"/>
      <c r="K1" s="291"/>
      <c r="L1" s="123"/>
      <c r="M1" s="291"/>
      <c r="O1" s="301"/>
      <c r="P1" s="64"/>
      <c r="Q1" s="64"/>
      <c r="S1" s="288"/>
      <c r="T1" s="98"/>
      <c r="U1"/>
      <c r="V1"/>
      <c r="W1"/>
      <c r="X1"/>
      <c r="Y1"/>
      <c r="Z1"/>
      <c r="AA1"/>
      <c r="AB1"/>
      <c r="AC1"/>
      <c r="AD1"/>
      <c r="AE1"/>
      <c r="AF1"/>
      <c r="AG1"/>
      <c r="AH1"/>
      <c r="AI1"/>
      <c r="AJ1"/>
      <c r="AK1"/>
      <c r="AL1"/>
      <c r="AM1"/>
      <c r="AN1"/>
      <c r="AO1"/>
      <c r="AP1"/>
      <c r="AQ1"/>
      <c r="AR1"/>
      <c r="AS1"/>
    </row>
    <row r="2" spans="1:45" s="56" customFormat="1" ht="21" customHeight="1" thickBot="1">
      <c r="A2" s="136"/>
      <c r="B2" s="122"/>
      <c r="C2" s="291"/>
      <c r="D2" s="123"/>
      <c r="E2" s="291"/>
      <c r="F2" s="123"/>
      <c r="G2" s="291"/>
      <c r="H2" s="123"/>
      <c r="I2" s="123"/>
      <c r="J2" s="123"/>
      <c r="K2" s="291"/>
      <c r="L2" s="123"/>
      <c r="M2" s="291"/>
      <c r="O2" s="301"/>
      <c r="P2" s="64"/>
      <c r="Q2" s="64"/>
      <c r="S2" s="283" t="s">
        <v>0</v>
      </c>
      <c r="T2" s="98"/>
      <c r="U2"/>
      <c r="V2"/>
      <c r="W2"/>
      <c r="X2"/>
      <c r="Y2"/>
      <c r="Z2"/>
      <c r="AA2"/>
      <c r="AB2"/>
      <c r="AC2"/>
      <c r="AD2"/>
      <c r="AE2"/>
      <c r="AF2"/>
      <c r="AG2"/>
      <c r="AH2"/>
      <c r="AI2"/>
      <c r="AJ2"/>
      <c r="AK2"/>
      <c r="AL2"/>
      <c r="AM2"/>
      <c r="AN2"/>
      <c r="AO2"/>
      <c r="AP2"/>
      <c r="AQ2"/>
      <c r="AR2"/>
      <c r="AS2"/>
    </row>
    <row r="3" spans="1:43" s="56" customFormat="1" ht="74.25" customHeight="1" thickBot="1">
      <c r="A3" s="1227" t="s">
        <v>1</v>
      </c>
      <c r="B3" s="1236" t="s">
        <v>63</v>
      </c>
      <c r="C3" s="1236"/>
      <c r="D3" s="1236" t="s">
        <v>76</v>
      </c>
      <c r="E3" s="1236"/>
      <c r="F3" s="1236" t="s">
        <v>136</v>
      </c>
      <c r="G3" s="1236"/>
      <c r="H3" s="1236" t="s">
        <v>69</v>
      </c>
      <c r="I3" s="1236"/>
      <c r="J3" s="1236" t="s">
        <v>70</v>
      </c>
      <c r="K3" s="1236"/>
      <c r="L3" s="1237" t="s">
        <v>71</v>
      </c>
      <c r="M3" s="1237"/>
      <c r="N3" s="1237" t="s">
        <v>72</v>
      </c>
      <c r="O3" s="1237"/>
      <c r="P3" s="1237" t="s">
        <v>218</v>
      </c>
      <c r="Q3" s="1237"/>
      <c r="R3" s="1215" t="s">
        <v>58</v>
      </c>
      <c r="S3" s="1215"/>
      <c r="T3"/>
      <c r="U3"/>
      <c r="V3"/>
      <c r="W3"/>
      <c r="X3"/>
      <c r="Y3"/>
      <c r="Z3"/>
      <c r="AA3"/>
      <c r="AB3"/>
      <c r="AC3"/>
      <c r="AD3"/>
      <c r="AE3"/>
      <c r="AF3"/>
      <c r="AG3"/>
      <c r="AH3"/>
      <c r="AI3"/>
      <c r="AJ3"/>
      <c r="AK3"/>
      <c r="AL3"/>
      <c r="AM3"/>
      <c r="AN3"/>
      <c r="AO3"/>
      <c r="AP3"/>
      <c r="AQ3"/>
    </row>
    <row r="4" spans="1:43" s="56" customFormat="1" ht="24.75" customHeight="1" thickBot="1">
      <c r="A4" s="1228"/>
      <c r="B4" s="94" t="s">
        <v>10</v>
      </c>
      <c r="C4" s="297" t="s">
        <v>9</v>
      </c>
      <c r="D4" s="94" t="s">
        <v>10</v>
      </c>
      <c r="E4" s="297" t="s">
        <v>9</v>
      </c>
      <c r="F4" s="94" t="s">
        <v>10</v>
      </c>
      <c r="G4" s="297" t="s">
        <v>9</v>
      </c>
      <c r="H4" s="94" t="s">
        <v>10</v>
      </c>
      <c r="I4" s="95" t="s">
        <v>9</v>
      </c>
      <c r="J4" s="94" t="s">
        <v>10</v>
      </c>
      <c r="K4" s="297" t="s">
        <v>9</v>
      </c>
      <c r="L4" s="94" t="s">
        <v>10</v>
      </c>
      <c r="M4" s="297" t="s">
        <v>9</v>
      </c>
      <c r="N4" s="94" t="s">
        <v>10</v>
      </c>
      <c r="O4" s="297" t="s">
        <v>9</v>
      </c>
      <c r="P4" s="94" t="s">
        <v>10</v>
      </c>
      <c r="Q4" s="95" t="s">
        <v>9</v>
      </c>
      <c r="R4" s="94" t="s">
        <v>10</v>
      </c>
      <c r="S4" s="297" t="s">
        <v>9</v>
      </c>
      <c r="T4"/>
      <c r="U4"/>
      <c r="V4"/>
      <c r="W4"/>
      <c r="X4"/>
      <c r="Y4"/>
      <c r="Z4"/>
      <c r="AA4"/>
      <c r="AB4"/>
      <c r="AC4"/>
      <c r="AD4"/>
      <c r="AE4"/>
      <c r="AF4"/>
      <c r="AG4"/>
      <c r="AH4"/>
      <c r="AI4"/>
      <c r="AJ4"/>
      <c r="AK4"/>
      <c r="AL4"/>
      <c r="AM4"/>
      <c r="AN4"/>
      <c r="AO4"/>
      <c r="AP4"/>
      <c r="AQ4"/>
    </row>
    <row r="5" spans="1:43" s="56" customFormat="1" ht="22.5" customHeight="1">
      <c r="A5" s="75" t="s">
        <v>104</v>
      </c>
      <c r="B5" s="77"/>
      <c r="C5" s="298"/>
      <c r="D5" s="78"/>
      <c r="E5" s="298"/>
      <c r="F5" s="78"/>
      <c r="G5" s="298"/>
      <c r="H5" s="78"/>
      <c r="I5" s="78"/>
      <c r="J5" s="78"/>
      <c r="K5" s="298"/>
      <c r="L5" s="79"/>
      <c r="M5" s="298"/>
      <c r="N5" s="78"/>
      <c r="O5" s="298"/>
      <c r="P5" s="78"/>
      <c r="Q5" s="78"/>
      <c r="R5" s="72"/>
      <c r="S5" s="302"/>
      <c r="T5"/>
      <c r="U5"/>
      <c r="V5"/>
      <c r="W5"/>
      <c r="X5"/>
      <c r="Y5"/>
      <c r="Z5"/>
      <c r="AA5"/>
      <c r="AB5"/>
      <c r="AC5"/>
      <c r="AD5"/>
      <c r="AE5"/>
      <c r="AF5"/>
      <c r="AG5"/>
      <c r="AH5"/>
      <c r="AI5"/>
      <c r="AJ5"/>
      <c r="AK5"/>
      <c r="AL5"/>
      <c r="AM5"/>
      <c r="AN5"/>
      <c r="AO5"/>
      <c r="AP5"/>
      <c r="AQ5"/>
    </row>
    <row r="6" spans="1:43" s="40" customFormat="1" ht="22.5" customHeight="1">
      <c r="A6" s="71" t="s">
        <v>86</v>
      </c>
      <c r="B6" s="852">
        <v>43</v>
      </c>
      <c r="C6" s="853">
        <f>631.5+146.9+157.9</f>
        <v>936.3</v>
      </c>
      <c r="D6" s="854"/>
      <c r="E6" s="855"/>
      <c r="F6" s="852">
        <v>6</v>
      </c>
      <c r="G6" s="855">
        <v>197.7</v>
      </c>
      <c r="H6" s="852">
        <v>6</v>
      </c>
      <c r="I6" s="852">
        <v>254</v>
      </c>
      <c r="J6" s="852"/>
      <c r="K6" s="855"/>
      <c r="L6" s="852">
        <v>7</v>
      </c>
      <c r="M6" s="855">
        <v>98.5</v>
      </c>
      <c r="N6" s="852">
        <v>31</v>
      </c>
      <c r="O6" s="855">
        <v>582.5</v>
      </c>
      <c r="P6" s="852"/>
      <c r="Q6" s="862"/>
      <c r="R6" s="83">
        <f>P6+B6+D6+F6+H6+J6+L6+N6</f>
        <v>93</v>
      </c>
      <c r="S6" s="780">
        <f>Q6+C6+E6+G6+I6+K6+M6+O6</f>
        <v>2069</v>
      </c>
      <c r="T6"/>
      <c r="U6"/>
      <c r="V6"/>
      <c r="W6"/>
      <c r="X6"/>
      <c r="Y6"/>
      <c r="Z6"/>
      <c r="AA6"/>
      <c r="AB6"/>
      <c r="AC6"/>
      <c r="AD6"/>
      <c r="AE6"/>
      <c r="AF6"/>
      <c r="AG6"/>
      <c r="AH6"/>
      <c r="AI6"/>
      <c r="AJ6"/>
      <c r="AK6"/>
      <c r="AL6"/>
      <c r="AM6"/>
      <c r="AN6"/>
      <c r="AO6"/>
      <c r="AP6"/>
      <c r="AQ6"/>
    </row>
    <row r="7" spans="1:43" s="56" customFormat="1" ht="22.5" customHeight="1">
      <c r="A7" s="75" t="s">
        <v>125</v>
      </c>
      <c r="B7" s="856"/>
      <c r="C7" s="857"/>
      <c r="D7" s="858"/>
      <c r="E7" s="857"/>
      <c r="F7" s="858"/>
      <c r="G7" s="857"/>
      <c r="H7" s="858"/>
      <c r="I7" s="858"/>
      <c r="J7" s="858"/>
      <c r="K7" s="857"/>
      <c r="L7" s="859"/>
      <c r="M7" s="857"/>
      <c r="N7" s="858"/>
      <c r="O7" s="857"/>
      <c r="P7" s="858"/>
      <c r="Q7" s="858"/>
      <c r="R7" s="143"/>
      <c r="S7" s="303"/>
      <c r="T7"/>
      <c r="U7"/>
      <c r="V7"/>
      <c r="W7"/>
      <c r="X7"/>
      <c r="Y7"/>
      <c r="Z7"/>
      <c r="AA7"/>
      <c r="AB7"/>
      <c r="AC7"/>
      <c r="AD7"/>
      <c r="AE7"/>
      <c r="AF7"/>
      <c r="AG7"/>
      <c r="AH7"/>
      <c r="AI7"/>
      <c r="AJ7"/>
      <c r="AK7"/>
      <c r="AL7"/>
      <c r="AM7"/>
      <c r="AN7"/>
      <c r="AO7"/>
      <c r="AP7"/>
      <c r="AQ7"/>
    </row>
    <row r="8" spans="1:43" s="40" customFormat="1" ht="22.5" customHeight="1" thickBot="1">
      <c r="A8" s="71" t="s">
        <v>105</v>
      </c>
      <c r="B8" s="860">
        <v>30</v>
      </c>
      <c r="C8" s="860">
        <v>945.2</v>
      </c>
      <c r="D8" s="852">
        <v>6</v>
      </c>
      <c r="E8" s="853">
        <v>177.1</v>
      </c>
      <c r="F8" s="852">
        <v>6</v>
      </c>
      <c r="G8" s="853">
        <v>353.9</v>
      </c>
      <c r="H8" s="861">
        <v>12</v>
      </c>
      <c r="I8" s="862">
        <v>325.8</v>
      </c>
      <c r="J8" s="852">
        <v>4</v>
      </c>
      <c r="K8" s="853">
        <v>344.6</v>
      </c>
      <c r="L8" s="852">
        <v>17</v>
      </c>
      <c r="M8" s="853">
        <v>1374.9</v>
      </c>
      <c r="N8" s="852">
        <v>18</v>
      </c>
      <c r="O8" s="853">
        <v>457.2</v>
      </c>
      <c r="P8" s="852"/>
      <c r="Q8" s="862"/>
      <c r="R8" s="83">
        <f>B8+D8+F8+H8+J8+L8+N8+P8</f>
        <v>93</v>
      </c>
      <c r="S8" s="780">
        <f>C8+E8+G8+I8+K8+M8+O8+Q8</f>
        <v>3978.7</v>
      </c>
      <c r="T8"/>
      <c r="U8"/>
      <c r="V8"/>
      <c r="W8"/>
      <c r="X8"/>
      <c r="Y8"/>
      <c r="Z8"/>
      <c r="AA8"/>
      <c r="AB8"/>
      <c r="AC8"/>
      <c r="AD8"/>
      <c r="AE8"/>
      <c r="AF8"/>
      <c r="AG8"/>
      <c r="AH8"/>
      <c r="AI8"/>
      <c r="AJ8"/>
      <c r="AK8"/>
      <c r="AL8"/>
      <c r="AM8"/>
      <c r="AN8"/>
      <c r="AO8"/>
      <c r="AP8"/>
      <c r="AQ8"/>
    </row>
    <row r="9" spans="1:43" s="40" customFormat="1" ht="22.5" customHeight="1" thickBot="1">
      <c r="A9" s="192" t="s">
        <v>58</v>
      </c>
      <c r="B9" s="141">
        <f>SUM(B5:B7)</f>
        <v>43</v>
      </c>
      <c r="C9" s="279">
        <f>SUM(C5:C8)</f>
        <v>1881.5</v>
      </c>
      <c r="D9" s="141">
        <f aca="true" t="shared" si="0" ref="D9:S9">SUM(D5:D8)</f>
        <v>6</v>
      </c>
      <c r="E9" s="141">
        <f>E6</f>
        <v>0</v>
      </c>
      <c r="F9" s="141">
        <f>F6</f>
        <v>6</v>
      </c>
      <c r="G9" s="279">
        <f t="shared" si="0"/>
        <v>551.5999999999999</v>
      </c>
      <c r="H9" s="141">
        <f>H6</f>
        <v>6</v>
      </c>
      <c r="I9" s="279">
        <f t="shared" si="0"/>
        <v>579.8</v>
      </c>
      <c r="J9" s="141">
        <f>J6</f>
        <v>0</v>
      </c>
      <c r="K9" s="279">
        <f t="shared" si="0"/>
        <v>344.6</v>
      </c>
      <c r="L9" s="141">
        <f>L6</f>
        <v>7</v>
      </c>
      <c r="M9" s="279">
        <f t="shared" si="0"/>
        <v>1473.4</v>
      </c>
      <c r="N9" s="141">
        <f>N6</f>
        <v>31</v>
      </c>
      <c r="O9" s="279">
        <f t="shared" si="0"/>
        <v>1039.7</v>
      </c>
      <c r="P9" s="141">
        <f>P6</f>
        <v>0</v>
      </c>
      <c r="Q9" s="141">
        <f t="shared" si="0"/>
        <v>0</v>
      </c>
      <c r="R9" s="142">
        <f>R6</f>
        <v>93</v>
      </c>
      <c r="S9" s="797">
        <f t="shared" si="0"/>
        <v>6047.7</v>
      </c>
      <c r="T9"/>
      <c r="U9"/>
      <c r="V9"/>
      <c r="W9"/>
      <c r="X9"/>
      <c r="Y9"/>
      <c r="Z9"/>
      <c r="AA9"/>
      <c r="AB9"/>
      <c r="AC9"/>
      <c r="AD9"/>
      <c r="AE9"/>
      <c r="AF9"/>
      <c r="AG9"/>
      <c r="AH9"/>
      <c r="AI9"/>
      <c r="AJ9"/>
      <c r="AK9"/>
      <c r="AL9"/>
      <c r="AM9"/>
      <c r="AN9"/>
      <c r="AO9"/>
      <c r="AP9"/>
      <c r="AQ9"/>
    </row>
    <row r="10" spans="1:45" s="56" customFormat="1" ht="15" customHeight="1">
      <c r="A10" s="86"/>
      <c r="B10" s="58"/>
      <c r="C10" s="285"/>
      <c r="D10" s="59"/>
      <c r="E10" s="285"/>
      <c r="F10" s="59"/>
      <c r="G10" s="285"/>
      <c r="H10" s="59"/>
      <c r="I10" s="59"/>
      <c r="J10" s="59"/>
      <c r="K10" s="285"/>
      <c r="L10" s="59"/>
      <c r="M10" s="285"/>
      <c r="N10" s="60"/>
      <c r="O10" s="285"/>
      <c r="P10" s="59"/>
      <c r="Q10" s="59"/>
      <c r="R10" s="59"/>
      <c r="S10" s="285"/>
      <c r="U10"/>
      <c r="V10"/>
      <c r="W10"/>
      <c r="X10"/>
      <c r="Y10"/>
      <c r="Z10"/>
      <c r="AA10"/>
      <c r="AB10"/>
      <c r="AC10"/>
      <c r="AD10"/>
      <c r="AE10"/>
      <c r="AF10"/>
      <c r="AG10"/>
      <c r="AH10"/>
      <c r="AI10"/>
      <c r="AJ10"/>
      <c r="AK10"/>
      <c r="AL10"/>
      <c r="AM10"/>
      <c r="AN10"/>
      <c r="AO10"/>
      <c r="AP10"/>
      <c r="AQ10"/>
      <c r="AR10"/>
      <c r="AS10"/>
    </row>
    <row r="11" spans="3:45" s="120" customFormat="1" ht="23.25" customHeight="1">
      <c r="C11" s="295"/>
      <c r="E11" s="295"/>
      <c r="G11" s="295"/>
      <c r="K11" s="295"/>
      <c r="M11" s="295"/>
      <c r="O11" s="295"/>
      <c r="S11" s="295"/>
      <c r="U11"/>
      <c r="V11"/>
      <c r="W11"/>
      <c r="X11"/>
      <c r="Y11"/>
      <c r="Z11"/>
      <c r="AA11"/>
      <c r="AB11"/>
      <c r="AC11"/>
      <c r="AD11"/>
      <c r="AE11"/>
      <c r="AF11"/>
      <c r="AG11"/>
      <c r="AH11"/>
      <c r="AI11"/>
      <c r="AJ11"/>
      <c r="AK11"/>
      <c r="AL11"/>
      <c r="AM11"/>
      <c r="AN11"/>
      <c r="AO11"/>
      <c r="AP11"/>
      <c r="AQ11"/>
      <c r="AR11"/>
      <c r="AS11"/>
    </row>
    <row r="12" spans="3:19" ht="21" customHeight="1">
      <c r="C12" s="262"/>
      <c r="E12" s="262"/>
      <c r="G12" s="262"/>
      <c r="K12" s="262"/>
      <c r="M12" s="262"/>
      <c r="O12" s="262"/>
      <c r="S12" s="262"/>
    </row>
    <row r="13" spans="3:19" ht="21" customHeight="1">
      <c r="C13" s="262"/>
      <c r="E13" s="262"/>
      <c r="G13" s="262"/>
      <c r="K13" s="262"/>
      <c r="M13" s="262"/>
      <c r="O13" s="262"/>
      <c r="S13" s="262"/>
    </row>
    <row r="14" spans="3:19" ht="21" customHeight="1">
      <c r="C14" s="262"/>
      <c r="E14" s="262"/>
      <c r="G14" s="262"/>
      <c r="K14" s="262"/>
      <c r="M14" s="262"/>
      <c r="O14" s="262"/>
      <c r="S14" s="262"/>
    </row>
    <row r="15" spans="3:19" ht="21" customHeight="1">
      <c r="C15" s="262"/>
      <c r="E15" s="262"/>
      <c r="G15" s="262"/>
      <c r="K15" s="262"/>
      <c r="M15" s="262"/>
      <c r="O15" s="262"/>
      <c r="S15" s="262"/>
    </row>
    <row r="16" spans="3:19" ht="21" customHeight="1">
      <c r="C16" s="262"/>
      <c r="E16" s="262"/>
      <c r="G16" s="262"/>
      <c r="K16" s="262"/>
      <c r="M16" s="262"/>
      <c r="O16" s="262"/>
      <c r="S16" s="262"/>
    </row>
    <row r="17" spans="3:19" ht="21" customHeight="1">
      <c r="C17" s="262"/>
      <c r="E17" s="262"/>
      <c r="G17" s="262"/>
      <c r="K17" s="262"/>
      <c r="M17" s="262"/>
      <c r="O17" s="262"/>
      <c r="S17" s="262"/>
    </row>
    <row r="18" spans="3:19" ht="21" customHeight="1">
      <c r="C18" s="262"/>
      <c r="E18" s="262"/>
      <c r="G18" s="262"/>
      <c r="K18" s="262"/>
      <c r="M18" s="262"/>
      <c r="O18" s="262"/>
      <c r="S18" s="262"/>
    </row>
    <row r="19" spans="3:19" ht="21" customHeight="1">
      <c r="C19" s="262"/>
      <c r="E19" s="262"/>
      <c r="G19" s="262"/>
      <c r="K19" s="262"/>
      <c r="M19" s="262"/>
      <c r="O19" s="262"/>
      <c r="S19" s="262"/>
    </row>
    <row r="20" spans="3:19" ht="18.75" customHeight="1">
      <c r="C20" s="262"/>
      <c r="E20" s="300"/>
      <c r="F20" s="198"/>
      <c r="G20" s="300"/>
      <c r="K20" s="262"/>
      <c r="M20" s="262"/>
      <c r="O20" s="262"/>
      <c r="S20" s="262"/>
    </row>
    <row r="21" spans="3:19" ht="18.75" customHeight="1">
      <c r="C21" s="262"/>
      <c r="E21" s="262"/>
      <c r="G21" s="262"/>
      <c r="K21" s="262"/>
      <c r="M21" s="262"/>
      <c r="O21" s="262"/>
      <c r="S21" s="262"/>
    </row>
    <row r="22" spans="3:19" ht="18.75" customHeight="1">
      <c r="C22" s="262"/>
      <c r="E22" s="262"/>
      <c r="G22" s="262"/>
      <c r="K22" s="262"/>
      <c r="M22" s="262"/>
      <c r="O22" s="262"/>
      <c r="S22" s="262"/>
    </row>
    <row r="23" spans="3:19" ht="18.75" customHeight="1">
      <c r="C23" s="262"/>
      <c r="E23" s="262"/>
      <c r="G23" s="262"/>
      <c r="K23" s="262"/>
      <c r="M23" s="262"/>
      <c r="O23" s="262"/>
      <c r="S23" s="262"/>
    </row>
    <row r="24" spans="3:19" ht="18.75" customHeight="1">
      <c r="C24" s="262"/>
      <c r="E24" s="262"/>
      <c r="G24" s="262"/>
      <c r="K24" s="262"/>
      <c r="M24" s="262"/>
      <c r="O24" s="262"/>
      <c r="S24" s="262"/>
    </row>
    <row r="25" spans="3:19" ht="18.75" customHeight="1">
      <c r="C25" s="262"/>
      <c r="E25" s="262"/>
      <c r="G25" s="262"/>
      <c r="K25" s="262"/>
      <c r="M25" s="262"/>
      <c r="O25" s="262"/>
      <c r="S25" s="262"/>
    </row>
    <row r="26" spans="3:19" ht="18.75" customHeight="1">
      <c r="C26" s="262"/>
      <c r="E26" s="262"/>
      <c r="G26" s="262"/>
      <c r="K26" s="262"/>
      <c r="M26" s="262"/>
      <c r="O26" s="262"/>
      <c r="S26" s="262"/>
    </row>
    <row r="27" spans="3:19" ht="18.75" customHeight="1">
      <c r="C27" s="262"/>
      <c r="E27" s="262"/>
      <c r="G27" s="262"/>
      <c r="K27" s="262"/>
      <c r="M27" s="262"/>
      <c r="O27" s="262"/>
      <c r="S27" s="262"/>
    </row>
    <row r="28" spans="3:19" ht="18.75" customHeight="1">
      <c r="C28" s="262"/>
      <c r="E28" s="262"/>
      <c r="G28" s="262"/>
      <c r="K28" s="262"/>
      <c r="M28" s="262"/>
      <c r="O28" s="262"/>
      <c r="S28" s="262"/>
    </row>
    <row r="29" spans="3:19" ht="18.75" customHeight="1">
      <c r="C29" s="262"/>
      <c r="E29" s="262"/>
      <c r="G29" s="262"/>
      <c r="K29" s="262"/>
      <c r="M29" s="262"/>
      <c r="O29" s="262"/>
      <c r="S29" s="262"/>
    </row>
    <row r="30" spans="3:19" ht="18.75" customHeight="1">
      <c r="C30" s="262"/>
      <c r="E30" s="262"/>
      <c r="G30" s="262"/>
      <c r="K30" s="262"/>
      <c r="M30" s="262"/>
      <c r="O30" s="262"/>
      <c r="S30" s="262"/>
    </row>
    <row r="31" spans="3:19" ht="18.75" customHeight="1">
      <c r="C31" s="262"/>
      <c r="E31" s="262"/>
      <c r="G31" s="262"/>
      <c r="K31" s="262"/>
      <c r="M31" s="262"/>
      <c r="O31" s="262"/>
      <c r="S31" s="262"/>
    </row>
    <row r="32" spans="3:19" ht="18.75" customHeight="1">
      <c r="C32" s="262"/>
      <c r="E32" s="262"/>
      <c r="G32" s="262"/>
      <c r="K32" s="262"/>
      <c r="M32" s="262"/>
      <c r="O32" s="262"/>
      <c r="S32" s="262"/>
    </row>
    <row r="33" spans="3:19" ht="18.75" customHeight="1">
      <c r="C33" s="262"/>
      <c r="E33" s="262"/>
      <c r="G33" s="262"/>
      <c r="K33" s="262"/>
      <c r="M33" s="262"/>
      <c r="O33" s="262"/>
      <c r="S33" s="262"/>
    </row>
  </sheetData>
  <sheetProtection/>
  <mergeCells count="10">
    <mergeCell ref="D3:E3"/>
    <mergeCell ref="A3:A4"/>
    <mergeCell ref="B3:C3"/>
    <mergeCell ref="F3:G3"/>
    <mergeCell ref="P3:Q3"/>
    <mergeCell ref="R3:S3"/>
    <mergeCell ref="N3:O3"/>
    <mergeCell ref="L3:M3"/>
    <mergeCell ref="H3:I3"/>
    <mergeCell ref="J3:K3"/>
  </mergeCells>
  <printOptions horizontalCentered="1"/>
  <pageMargins left="0.25" right="0.15" top="0.5" bottom="0.35" header="0.511811023622047" footer="0.511811023622047"/>
  <pageSetup horizontalDpi="600" verticalDpi="600" orientation="landscape" paperSize="9" scale="105" r:id="rId1"/>
</worksheet>
</file>

<file path=xl/worksheets/sheet8.xml><?xml version="1.0" encoding="utf-8"?>
<worksheet xmlns="http://schemas.openxmlformats.org/spreadsheetml/2006/main" xmlns:r="http://schemas.openxmlformats.org/officeDocument/2006/relationships">
  <sheetPr>
    <tabColor indexed="14"/>
  </sheetPr>
  <dimension ref="A1:AK31"/>
  <sheetViews>
    <sheetView zoomScalePageLayoutView="0" workbookViewId="0" topLeftCell="A1">
      <selection activeCell="I3" sqref="I3:I4"/>
    </sheetView>
  </sheetViews>
  <sheetFormatPr defaultColWidth="9.140625" defaultRowHeight="12.75"/>
  <cols>
    <col min="1" max="1" width="21.8515625" style="98" customWidth="1"/>
    <col min="2" max="2" width="4.28125" style="181" customWidth="1"/>
    <col min="3" max="3" width="68.57421875" style="123" customWidth="1"/>
    <col min="4" max="4" width="6.140625" style="124" customWidth="1"/>
    <col min="5" max="5" width="8.140625" style="598" customWidth="1"/>
    <col min="6" max="6" width="5.00390625" style="324" customWidth="1"/>
    <col min="7" max="7" width="8.00390625" style="325" customWidth="1"/>
    <col min="8" max="8" width="6.00390625" style="324" bestFit="1" customWidth="1"/>
    <col min="9" max="9" width="5.00390625" style="324" bestFit="1" customWidth="1"/>
    <col min="10" max="10" width="5.140625" style="320" customWidth="1"/>
    <col min="11" max="11" width="8.140625" style="328" customWidth="1"/>
    <col min="12" max="12" width="9.8515625" style="98" bestFit="1" customWidth="1"/>
    <col min="13" max="13" width="10.00390625" style="0" customWidth="1"/>
    <col min="14" max="14" width="20.28125" style="0" customWidth="1"/>
    <col min="15" max="15" width="6.140625" style="0" customWidth="1"/>
    <col min="16" max="16" width="8.28125" style="0" customWidth="1"/>
    <col min="17" max="17" width="4.7109375" style="0" customWidth="1"/>
    <col min="18" max="18" width="7.8515625" style="0" customWidth="1"/>
    <col min="19" max="19" width="4.8515625" style="0" customWidth="1"/>
    <col min="20" max="20" width="8.421875" style="0" customWidth="1"/>
    <col min="21" max="21" width="5.28125" style="0" customWidth="1"/>
    <col min="22" max="22" width="6.57421875" style="0" customWidth="1"/>
    <col min="23" max="23" width="4.7109375" style="0" customWidth="1"/>
    <col min="24" max="24" width="8.421875" style="0" customWidth="1"/>
    <col min="25" max="25" width="5.28125" style="0" customWidth="1"/>
    <col min="27" max="27" width="5.7109375" style="0" customWidth="1"/>
    <col min="28" max="28" width="7.140625" style="0" customWidth="1"/>
    <col min="29" max="29" width="5.8515625" style="0" customWidth="1"/>
    <col min="31" max="31" width="5.57421875" style="0" customWidth="1"/>
    <col min="32" max="32" width="8.7109375" style="0" customWidth="1"/>
    <col min="33" max="33" width="6.140625" style="0" customWidth="1"/>
    <col min="38" max="16384" width="9.140625" style="98" customWidth="1"/>
  </cols>
  <sheetData>
    <row r="1" spans="1:37" s="56" customFormat="1" ht="25.5" customHeight="1">
      <c r="A1" s="158" t="s">
        <v>398</v>
      </c>
      <c r="B1" s="181"/>
      <c r="C1" s="123"/>
      <c r="E1" s="594"/>
      <c r="F1" s="317"/>
      <c r="G1" s="318"/>
      <c r="H1" s="319"/>
      <c r="I1" s="319"/>
      <c r="J1" s="320"/>
      <c r="K1" s="328"/>
      <c r="L1" s="98"/>
      <c r="M1"/>
      <c r="N1"/>
      <c r="O1"/>
      <c r="P1"/>
      <c r="Q1"/>
      <c r="R1"/>
      <c r="S1"/>
      <c r="T1"/>
      <c r="U1"/>
      <c r="V1"/>
      <c r="W1"/>
      <c r="X1"/>
      <c r="Y1"/>
      <c r="Z1"/>
      <c r="AA1"/>
      <c r="AB1"/>
      <c r="AC1"/>
      <c r="AD1"/>
      <c r="AE1"/>
      <c r="AF1"/>
      <c r="AG1"/>
      <c r="AH1"/>
      <c r="AI1"/>
      <c r="AJ1"/>
      <c r="AK1"/>
    </row>
    <row r="2" spans="1:12" ht="16.5" customHeight="1" thickBot="1">
      <c r="A2" s="159"/>
      <c r="B2" s="182"/>
      <c r="C2" s="176"/>
      <c r="D2" s="176"/>
      <c r="E2" s="595"/>
      <c r="F2" s="321"/>
      <c r="G2" s="322"/>
      <c r="H2" s="321"/>
      <c r="I2" s="321"/>
      <c r="J2" s="321"/>
      <c r="K2" s="329" t="s">
        <v>0</v>
      </c>
      <c r="L2" s="61"/>
    </row>
    <row r="3" spans="1:37" s="61" customFormat="1" ht="33.75" customHeight="1">
      <c r="A3" s="1238" t="s">
        <v>117</v>
      </c>
      <c r="B3" s="1238" t="s">
        <v>124</v>
      </c>
      <c r="C3" s="1240"/>
      <c r="D3" s="1246" t="s">
        <v>106</v>
      </c>
      <c r="E3" s="1246"/>
      <c r="F3" s="1246" t="s">
        <v>60</v>
      </c>
      <c r="G3" s="1247"/>
      <c r="H3" s="1243" t="s">
        <v>56</v>
      </c>
      <c r="I3" s="1243" t="s">
        <v>57</v>
      </c>
      <c r="J3" s="1241" t="s">
        <v>107</v>
      </c>
      <c r="K3" s="1242"/>
      <c r="M3"/>
      <c r="N3"/>
      <c r="O3"/>
      <c r="P3"/>
      <c r="Q3"/>
      <c r="R3"/>
      <c r="S3"/>
      <c r="T3"/>
      <c r="U3"/>
      <c r="V3"/>
      <c r="W3"/>
      <c r="X3"/>
      <c r="Y3"/>
      <c r="Z3"/>
      <c r="AA3"/>
      <c r="AB3"/>
      <c r="AC3"/>
      <c r="AD3"/>
      <c r="AE3"/>
      <c r="AF3"/>
      <c r="AG3"/>
      <c r="AH3"/>
      <c r="AI3"/>
      <c r="AJ3"/>
      <c r="AK3"/>
    </row>
    <row r="4" spans="1:37" s="61" customFormat="1" ht="27.75" customHeight="1" thickBot="1">
      <c r="A4" s="1239"/>
      <c r="B4" s="1239"/>
      <c r="C4" s="1239"/>
      <c r="D4" s="566" t="s">
        <v>10</v>
      </c>
      <c r="E4" s="596" t="s">
        <v>9</v>
      </c>
      <c r="F4" s="566" t="s">
        <v>10</v>
      </c>
      <c r="G4" s="567" t="s">
        <v>9</v>
      </c>
      <c r="H4" s="1244"/>
      <c r="I4" s="1245"/>
      <c r="J4" s="568" t="s">
        <v>10</v>
      </c>
      <c r="K4" s="567" t="s">
        <v>9</v>
      </c>
      <c r="M4"/>
      <c r="N4"/>
      <c r="O4"/>
      <c r="P4"/>
      <c r="Q4"/>
      <c r="R4"/>
      <c r="S4"/>
      <c r="T4"/>
      <c r="U4"/>
      <c r="V4"/>
      <c r="W4"/>
      <c r="X4"/>
      <c r="Y4"/>
      <c r="Z4"/>
      <c r="AA4"/>
      <c r="AB4"/>
      <c r="AC4"/>
      <c r="AD4"/>
      <c r="AE4"/>
      <c r="AF4"/>
      <c r="AG4"/>
      <c r="AH4"/>
      <c r="AI4"/>
      <c r="AJ4"/>
      <c r="AK4"/>
    </row>
    <row r="5" spans="1:37" s="326" customFormat="1" ht="40.5">
      <c r="A5" s="894" t="s">
        <v>194</v>
      </c>
      <c r="B5" s="222">
        <v>1</v>
      </c>
      <c r="C5" s="296" t="s">
        <v>451</v>
      </c>
      <c r="D5" s="506"/>
      <c r="E5" s="451"/>
      <c r="F5" s="771">
        <v>6</v>
      </c>
      <c r="G5" s="779">
        <v>166.2</v>
      </c>
      <c r="H5" s="221"/>
      <c r="I5" s="221"/>
      <c r="J5" s="323">
        <f aca="true" t="shared" si="0" ref="J5:J27">D5</f>
        <v>0</v>
      </c>
      <c r="K5" s="330">
        <f aca="true" t="shared" si="1" ref="K5:K27">E5+G5</f>
        <v>166.2</v>
      </c>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row>
    <row r="6" spans="2:37" s="61" customFormat="1" ht="40.5">
      <c r="B6" s="222">
        <v>2</v>
      </c>
      <c r="C6" s="296" t="s">
        <v>269</v>
      </c>
      <c r="D6" s="506">
        <v>5</v>
      </c>
      <c r="E6" s="777">
        <v>146.9</v>
      </c>
      <c r="F6" s="506">
        <v>6</v>
      </c>
      <c r="G6" s="507">
        <v>268.7</v>
      </c>
      <c r="H6" s="221"/>
      <c r="I6" s="221"/>
      <c r="J6" s="323">
        <f t="shared" si="0"/>
        <v>5</v>
      </c>
      <c r="K6" s="330">
        <f t="shared" si="1"/>
        <v>415.6</v>
      </c>
      <c r="M6"/>
      <c r="N6"/>
      <c r="O6"/>
      <c r="P6"/>
      <c r="Q6"/>
      <c r="R6"/>
      <c r="S6"/>
      <c r="T6"/>
      <c r="U6"/>
      <c r="V6"/>
      <c r="W6"/>
      <c r="X6"/>
      <c r="Y6"/>
      <c r="Z6"/>
      <c r="AA6"/>
      <c r="AB6"/>
      <c r="AC6"/>
      <c r="AD6"/>
      <c r="AE6"/>
      <c r="AF6"/>
      <c r="AG6"/>
      <c r="AH6"/>
      <c r="AI6"/>
      <c r="AJ6"/>
      <c r="AK6"/>
    </row>
    <row r="7" spans="1:37" s="61" customFormat="1" ht="60.75">
      <c r="A7" s="70"/>
      <c r="B7" s="222">
        <v>3</v>
      </c>
      <c r="C7" s="296" t="s">
        <v>455</v>
      </c>
      <c r="D7" s="506">
        <v>3</v>
      </c>
      <c r="E7" s="777">
        <v>157.9</v>
      </c>
      <c r="F7" s="506">
        <v>6</v>
      </c>
      <c r="G7" s="507">
        <v>160.5</v>
      </c>
      <c r="H7" s="221"/>
      <c r="I7" s="221"/>
      <c r="J7" s="323">
        <f>D7</f>
        <v>3</v>
      </c>
      <c r="K7" s="330">
        <f>E7+G7</f>
        <v>318.4</v>
      </c>
      <c r="M7"/>
      <c r="N7"/>
      <c r="O7"/>
      <c r="P7"/>
      <c r="Q7"/>
      <c r="R7"/>
      <c r="S7"/>
      <c r="T7"/>
      <c r="U7"/>
      <c r="V7"/>
      <c r="W7"/>
      <c r="X7"/>
      <c r="Y7"/>
      <c r="Z7"/>
      <c r="AA7"/>
      <c r="AB7"/>
      <c r="AC7"/>
      <c r="AD7"/>
      <c r="AE7"/>
      <c r="AF7"/>
      <c r="AG7"/>
      <c r="AH7"/>
      <c r="AI7"/>
      <c r="AJ7"/>
      <c r="AK7"/>
    </row>
    <row r="8" spans="1:37" s="326" customFormat="1" ht="21">
      <c r="A8" s="220"/>
      <c r="B8" s="222">
        <v>4</v>
      </c>
      <c r="C8" s="895" t="s">
        <v>462</v>
      </c>
      <c r="D8" s="771">
        <v>5</v>
      </c>
      <c r="E8" s="777">
        <v>137.7</v>
      </c>
      <c r="F8" s="771"/>
      <c r="G8" s="779"/>
      <c r="H8" s="221"/>
      <c r="I8" s="221"/>
      <c r="J8" s="323">
        <f t="shared" si="0"/>
        <v>5</v>
      </c>
      <c r="K8" s="330">
        <f t="shared" si="1"/>
        <v>137.7</v>
      </c>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row>
    <row r="9" spans="1:37" s="61" customFormat="1" ht="40.5">
      <c r="A9" s="70"/>
      <c r="B9" s="222">
        <v>5</v>
      </c>
      <c r="C9" s="296" t="s">
        <v>456</v>
      </c>
      <c r="D9" s="506">
        <v>6</v>
      </c>
      <c r="E9" s="451">
        <v>110.4</v>
      </c>
      <c r="F9" s="771">
        <v>6</v>
      </c>
      <c r="G9" s="779">
        <v>174.8</v>
      </c>
      <c r="H9" s="221"/>
      <c r="I9" s="221"/>
      <c r="J9" s="323">
        <f t="shared" si="0"/>
        <v>6</v>
      </c>
      <c r="K9" s="330">
        <f t="shared" si="1"/>
        <v>285.20000000000005</v>
      </c>
      <c r="L9" s="1025"/>
      <c r="M9"/>
      <c r="N9"/>
      <c r="O9"/>
      <c r="P9"/>
      <c r="Q9"/>
      <c r="R9"/>
      <c r="S9"/>
      <c r="T9"/>
      <c r="U9"/>
      <c r="V9"/>
      <c r="W9"/>
      <c r="X9"/>
      <c r="Y9"/>
      <c r="Z9"/>
      <c r="AA9"/>
      <c r="AB9"/>
      <c r="AC9"/>
      <c r="AD9"/>
      <c r="AE9"/>
      <c r="AF9"/>
      <c r="AG9"/>
      <c r="AH9"/>
      <c r="AI9"/>
      <c r="AJ9"/>
      <c r="AK9"/>
    </row>
    <row r="10" spans="1:37" s="326" customFormat="1" ht="21">
      <c r="A10" s="220"/>
      <c r="B10" s="222">
        <v>6</v>
      </c>
      <c r="C10" s="896" t="s">
        <v>268</v>
      </c>
      <c r="D10" s="506">
        <v>6</v>
      </c>
      <c r="E10" s="451">
        <v>128.8</v>
      </c>
      <c r="F10" s="506">
        <v>6</v>
      </c>
      <c r="G10" s="507">
        <v>175</v>
      </c>
      <c r="H10" s="221"/>
      <c r="I10" s="221"/>
      <c r="J10" s="323">
        <f t="shared" si="0"/>
        <v>6</v>
      </c>
      <c r="K10" s="330">
        <f t="shared" si="1"/>
        <v>303.8</v>
      </c>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row>
    <row r="11" spans="1:37" s="61" customFormat="1" ht="42">
      <c r="A11" s="70"/>
      <c r="B11" s="222">
        <v>7</v>
      </c>
      <c r="C11" s="768" t="s">
        <v>459</v>
      </c>
      <c r="D11" s="506">
        <v>6</v>
      </c>
      <c r="E11" s="451">
        <v>81.7</v>
      </c>
      <c r="F11" s="771"/>
      <c r="G11" s="779"/>
      <c r="H11" s="221"/>
      <c r="I11" s="221"/>
      <c r="J11" s="323">
        <f t="shared" si="0"/>
        <v>6</v>
      </c>
      <c r="K11" s="330">
        <f t="shared" si="1"/>
        <v>81.7</v>
      </c>
      <c r="L11" s="1025"/>
      <c r="M11"/>
      <c r="N11"/>
      <c r="O11"/>
      <c r="P11"/>
      <c r="Q11"/>
      <c r="R11"/>
      <c r="S11"/>
      <c r="T11"/>
      <c r="U11"/>
      <c r="V11"/>
      <c r="W11"/>
      <c r="X11"/>
      <c r="Y11"/>
      <c r="Z11"/>
      <c r="AA11"/>
      <c r="AB11"/>
      <c r="AC11"/>
      <c r="AD11"/>
      <c r="AE11"/>
      <c r="AF11"/>
      <c r="AG11"/>
      <c r="AH11"/>
      <c r="AI11"/>
      <c r="AJ11"/>
      <c r="AK11"/>
    </row>
    <row r="12" spans="1:37" s="61" customFormat="1" ht="42">
      <c r="A12" s="70"/>
      <c r="B12" s="222">
        <v>8</v>
      </c>
      <c r="C12" s="768" t="s">
        <v>467</v>
      </c>
      <c r="D12" s="506">
        <v>6</v>
      </c>
      <c r="E12" s="451">
        <v>71.1</v>
      </c>
      <c r="F12" s="771"/>
      <c r="G12" s="779"/>
      <c r="H12" s="221"/>
      <c r="I12" s="221"/>
      <c r="J12" s="323">
        <f t="shared" si="0"/>
        <v>6</v>
      </c>
      <c r="K12" s="330">
        <f t="shared" si="1"/>
        <v>71.1</v>
      </c>
      <c r="L12" s="1026"/>
      <c r="M12"/>
      <c r="N12"/>
      <c r="O12"/>
      <c r="P12"/>
      <c r="Q12"/>
      <c r="R12"/>
      <c r="S12"/>
      <c r="T12"/>
      <c r="U12"/>
      <c r="V12"/>
      <c r="W12"/>
      <c r="X12"/>
      <c r="Y12"/>
      <c r="Z12"/>
      <c r="AA12"/>
      <c r="AB12"/>
      <c r="AC12"/>
      <c r="AD12"/>
      <c r="AE12"/>
      <c r="AF12"/>
      <c r="AG12"/>
      <c r="AH12"/>
      <c r="AI12"/>
      <c r="AJ12"/>
      <c r="AK12"/>
    </row>
    <row r="13" spans="1:37" s="61" customFormat="1" ht="42">
      <c r="A13" s="70"/>
      <c r="B13" s="222">
        <v>9</v>
      </c>
      <c r="C13" s="768" t="s">
        <v>468</v>
      </c>
      <c r="D13" s="506">
        <v>6</v>
      </c>
      <c r="E13" s="451">
        <v>101.8</v>
      </c>
      <c r="F13" s="771"/>
      <c r="G13" s="779"/>
      <c r="H13" s="221"/>
      <c r="I13" s="221"/>
      <c r="J13" s="323">
        <f t="shared" si="0"/>
        <v>6</v>
      </c>
      <c r="K13" s="330">
        <f t="shared" si="1"/>
        <v>101.8</v>
      </c>
      <c r="L13" s="1025"/>
      <c r="M13"/>
      <c r="N13"/>
      <c r="O13"/>
      <c r="P13"/>
      <c r="Q13"/>
      <c r="R13"/>
      <c r="S13"/>
      <c r="T13"/>
      <c r="U13"/>
      <c r="V13"/>
      <c r="W13"/>
      <c r="X13"/>
      <c r="Y13"/>
      <c r="Z13"/>
      <c r="AA13"/>
      <c r="AB13"/>
      <c r="AC13"/>
      <c r="AD13"/>
      <c r="AE13"/>
      <c r="AF13"/>
      <c r="AG13"/>
      <c r="AH13"/>
      <c r="AI13"/>
      <c r="AJ13"/>
      <c r="AK13"/>
    </row>
    <row r="14" spans="1:37" s="61" customFormat="1" ht="21">
      <c r="A14" s="894" t="s">
        <v>453</v>
      </c>
      <c r="B14" s="222">
        <v>10</v>
      </c>
      <c r="C14" s="895" t="s">
        <v>454</v>
      </c>
      <c r="D14" s="248"/>
      <c r="E14" s="865"/>
      <c r="F14" s="248">
        <v>6</v>
      </c>
      <c r="G14" s="773">
        <v>177.1</v>
      </c>
      <c r="H14" s="221"/>
      <c r="I14" s="221"/>
      <c r="J14" s="323">
        <f t="shared" si="0"/>
        <v>0</v>
      </c>
      <c r="K14" s="330">
        <f t="shared" si="1"/>
        <v>177.1</v>
      </c>
      <c r="L14" s="175"/>
      <c r="M14" s="232"/>
      <c r="N14"/>
      <c r="O14"/>
      <c r="P14"/>
      <c r="Q14"/>
      <c r="R14"/>
      <c r="S14"/>
      <c r="T14"/>
      <c r="U14"/>
      <c r="V14"/>
      <c r="W14"/>
      <c r="X14"/>
      <c r="Y14"/>
      <c r="Z14"/>
      <c r="AA14"/>
      <c r="AB14"/>
      <c r="AC14"/>
      <c r="AD14"/>
      <c r="AE14"/>
      <c r="AF14"/>
      <c r="AG14"/>
      <c r="AH14"/>
      <c r="AI14"/>
      <c r="AJ14"/>
      <c r="AK14"/>
    </row>
    <row r="15" spans="1:37" s="61" customFormat="1" ht="21">
      <c r="A15" s="894" t="s">
        <v>449</v>
      </c>
      <c r="B15" s="222">
        <v>11</v>
      </c>
      <c r="C15" s="895" t="s">
        <v>450</v>
      </c>
      <c r="D15" s="248">
        <v>6</v>
      </c>
      <c r="E15" s="865">
        <v>197.7</v>
      </c>
      <c r="F15" s="248">
        <v>6</v>
      </c>
      <c r="G15" s="773">
        <v>353.9</v>
      </c>
      <c r="H15" s="221"/>
      <c r="I15" s="221"/>
      <c r="J15" s="323">
        <f t="shared" si="0"/>
        <v>6</v>
      </c>
      <c r="K15" s="330">
        <f t="shared" si="1"/>
        <v>551.5999999999999</v>
      </c>
      <c r="L15" s="175"/>
      <c r="M15" s="232"/>
      <c r="N15"/>
      <c r="O15"/>
      <c r="P15"/>
      <c r="Q15"/>
      <c r="R15"/>
      <c r="S15"/>
      <c r="T15"/>
      <c r="U15"/>
      <c r="V15"/>
      <c r="W15"/>
      <c r="X15"/>
      <c r="Y15"/>
      <c r="Z15"/>
      <c r="AA15"/>
      <c r="AB15"/>
      <c r="AC15"/>
      <c r="AD15"/>
      <c r="AE15"/>
      <c r="AF15"/>
      <c r="AG15"/>
      <c r="AH15"/>
      <c r="AI15"/>
      <c r="AJ15"/>
      <c r="AK15"/>
    </row>
    <row r="16" spans="1:37" s="61" customFormat="1" ht="45" customHeight="1">
      <c r="A16" s="894" t="s">
        <v>266</v>
      </c>
      <c r="B16" s="222">
        <v>12</v>
      </c>
      <c r="C16" s="296" t="s">
        <v>457</v>
      </c>
      <c r="D16" s="506"/>
      <c r="E16" s="451"/>
      <c r="F16" s="506">
        <v>6</v>
      </c>
      <c r="G16" s="507">
        <v>147.5</v>
      </c>
      <c r="H16" s="221"/>
      <c r="I16" s="221"/>
      <c r="J16" s="323">
        <f t="shared" si="0"/>
        <v>0</v>
      </c>
      <c r="K16" s="330">
        <f>E16+G16</f>
        <v>147.5</v>
      </c>
      <c r="M16"/>
      <c r="N16"/>
      <c r="O16"/>
      <c r="P16"/>
      <c r="Q16"/>
      <c r="R16"/>
      <c r="S16"/>
      <c r="T16"/>
      <c r="U16"/>
      <c r="V16"/>
      <c r="W16"/>
      <c r="X16"/>
      <c r="Y16"/>
      <c r="Z16"/>
      <c r="AA16"/>
      <c r="AB16"/>
      <c r="AC16"/>
      <c r="AD16"/>
      <c r="AE16"/>
      <c r="AF16"/>
      <c r="AG16"/>
      <c r="AH16"/>
      <c r="AI16"/>
      <c r="AJ16"/>
      <c r="AK16"/>
    </row>
    <row r="17" spans="1:37" s="61" customFormat="1" ht="21">
      <c r="A17" s="894"/>
      <c r="B17" s="222">
        <v>13</v>
      </c>
      <c r="C17" s="768" t="s">
        <v>461</v>
      </c>
      <c r="D17" s="506">
        <v>6</v>
      </c>
      <c r="E17" s="451">
        <v>254</v>
      </c>
      <c r="F17" s="506">
        <v>6</v>
      </c>
      <c r="G17" s="507">
        <v>178.3</v>
      </c>
      <c r="H17" s="221"/>
      <c r="I17" s="221"/>
      <c r="J17" s="323">
        <f t="shared" si="0"/>
        <v>6</v>
      </c>
      <c r="K17" s="330">
        <f>E17+G17</f>
        <v>432.3</v>
      </c>
      <c r="M17" s="262"/>
      <c r="N17"/>
      <c r="O17"/>
      <c r="P17"/>
      <c r="Q17"/>
      <c r="R17"/>
      <c r="S17"/>
      <c r="T17"/>
      <c r="U17"/>
      <c r="V17"/>
      <c r="W17"/>
      <c r="X17"/>
      <c r="Y17"/>
      <c r="Z17"/>
      <c r="AA17"/>
      <c r="AB17"/>
      <c r="AC17"/>
      <c r="AD17"/>
      <c r="AE17"/>
      <c r="AF17"/>
      <c r="AG17"/>
      <c r="AH17"/>
      <c r="AI17"/>
      <c r="AJ17"/>
      <c r="AK17"/>
    </row>
    <row r="18" spans="1:37" s="61" customFormat="1" ht="21">
      <c r="A18" s="220" t="s">
        <v>239</v>
      </c>
      <c r="B18" s="222">
        <v>14</v>
      </c>
      <c r="C18" s="296" t="s">
        <v>667</v>
      </c>
      <c r="D18" s="506"/>
      <c r="E18" s="451"/>
      <c r="F18" s="506">
        <v>5</v>
      </c>
      <c r="G18" s="507">
        <v>344.6</v>
      </c>
      <c r="H18" s="221"/>
      <c r="I18" s="221"/>
      <c r="J18" s="323">
        <f t="shared" si="0"/>
        <v>0</v>
      </c>
      <c r="K18" s="330">
        <f t="shared" si="1"/>
        <v>344.6</v>
      </c>
      <c r="L18" s="1025"/>
      <c r="M18"/>
      <c r="N18"/>
      <c r="O18"/>
      <c r="P18"/>
      <c r="Q18"/>
      <c r="R18"/>
      <c r="S18"/>
      <c r="T18"/>
      <c r="U18"/>
      <c r="V18"/>
      <c r="W18"/>
      <c r="X18"/>
      <c r="Y18"/>
      <c r="Z18"/>
      <c r="AA18"/>
      <c r="AB18"/>
      <c r="AC18"/>
      <c r="AD18"/>
      <c r="AE18"/>
      <c r="AF18"/>
      <c r="AG18"/>
      <c r="AH18"/>
      <c r="AI18"/>
      <c r="AJ18"/>
      <c r="AK18"/>
    </row>
    <row r="19" spans="1:37" s="61" customFormat="1" ht="40.5">
      <c r="A19" s="220" t="s">
        <v>195</v>
      </c>
      <c r="B19" s="222">
        <v>15</v>
      </c>
      <c r="C19" s="296" t="s">
        <v>452</v>
      </c>
      <c r="D19" s="506"/>
      <c r="E19" s="451"/>
      <c r="F19" s="506">
        <v>6</v>
      </c>
      <c r="G19" s="507">
        <v>160.9</v>
      </c>
      <c r="H19" s="221"/>
      <c r="I19" s="221"/>
      <c r="J19" s="323">
        <f t="shared" si="0"/>
        <v>0</v>
      </c>
      <c r="K19" s="330">
        <f t="shared" si="1"/>
        <v>160.9</v>
      </c>
      <c r="L19" s="1025"/>
      <c r="M19"/>
      <c r="N19"/>
      <c r="O19"/>
      <c r="P19"/>
      <c r="Q19"/>
      <c r="R19"/>
      <c r="S19"/>
      <c r="T19"/>
      <c r="U19"/>
      <c r="V19"/>
      <c r="W19"/>
      <c r="X19"/>
      <c r="Y19"/>
      <c r="Z19"/>
      <c r="AA19"/>
      <c r="AB19"/>
      <c r="AC19"/>
      <c r="AD19"/>
      <c r="AE19"/>
      <c r="AF19"/>
      <c r="AG19"/>
      <c r="AH19"/>
      <c r="AI19"/>
      <c r="AJ19"/>
      <c r="AK19"/>
    </row>
    <row r="20" spans="1:37" s="61" customFormat="1" ht="21">
      <c r="A20" s="220"/>
      <c r="B20" s="222">
        <v>16</v>
      </c>
      <c r="C20" s="296" t="s">
        <v>458</v>
      </c>
      <c r="D20" s="506"/>
      <c r="E20" s="451"/>
      <c r="F20" s="506">
        <v>6</v>
      </c>
      <c r="G20" s="507">
        <v>232.2</v>
      </c>
      <c r="H20" s="221"/>
      <c r="I20" s="221"/>
      <c r="J20" s="323">
        <f t="shared" si="0"/>
        <v>0</v>
      </c>
      <c r="K20" s="330">
        <f t="shared" si="1"/>
        <v>232.2</v>
      </c>
      <c r="L20" s="1025"/>
      <c r="M20"/>
      <c r="N20"/>
      <c r="O20"/>
      <c r="P20"/>
      <c r="Q20"/>
      <c r="R20"/>
      <c r="S20"/>
      <c r="T20"/>
      <c r="U20"/>
      <c r="V20"/>
      <c r="W20"/>
      <c r="X20"/>
      <c r="Y20"/>
      <c r="Z20"/>
      <c r="AA20"/>
      <c r="AB20"/>
      <c r="AC20"/>
      <c r="AD20"/>
      <c r="AE20"/>
      <c r="AF20"/>
      <c r="AG20"/>
      <c r="AH20"/>
      <c r="AI20"/>
      <c r="AJ20"/>
      <c r="AK20"/>
    </row>
    <row r="21" spans="1:37" s="61" customFormat="1" ht="24" customHeight="1">
      <c r="A21" s="220"/>
      <c r="B21" s="222">
        <v>17</v>
      </c>
      <c r="C21" s="296" t="s">
        <v>465</v>
      </c>
      <c r="D21" s="506">
        <v>7</v>
      </c>
      <c r="E21" s="451">
        <v>98.5</v>
      </c>
      <c r="F21" s="506">
        <v>5</v>
      </c>
      <c r="G21" s="507">
        <v>981.8</v>
      </c>
      <c r="H21" s="221"/>
      <c r="I21" s="221"/>
      <c r="J21" s="323">
        <f t="shared" si="0"/>
        <v>7</v>
      </c>
      <c r="K21" s="330">
        <f t="shared" si="1"/>
        <v>1080.3</v>
      </c>
      <c r="L21" s="1025"/>
      <c r="M21"/>
      <c r="N21"/>
      <c r="O21"/>
      <c r="P21"/>
      <c r="Q21"/>
      <c r="R21"/>
      <c r="S21"/>
      <c r="T21"/>
      <c r="U21"/>
      <c r="V21"/>
      <c r="W21"/>
      <c r="X21"/>
      <c r="Y21"/>
      <c r="Z21"/>
      <c r="AA21"/>
      <c r="AB21"/>
      <c r="AC21"/>
      <c r="AD21"/>
      <c r="AE21"/>
      <c r="AF21"/>
      <c r="AG21"/>
      <c r="AH21"/>
      <c r="AI21"/>
      <c r="AJ21"/>
      <c r="AK21"/>
    </row>
    <row r="22" spans="1:11" ht="46.5" customHeight="1">
      <c r="A22" s="220" t="s">
        <v>196</v>
      </c>
      <c r="B22" s="222">
        <v>18</v>
      </c>
      <c r="C22" s="897" t="s">
        <v>463</v>
      </c>
      <c r="D22" s="506">
        <v>5</v>
      </c>
      <c r="E22" s="778">
        <v>68.8</v>
      </c>
      <c r="F22" s="449">
        <v>6</v>
      </c>
      <c r="G22" s="450">
        <v>153.5</v>
      </c>
      <c r="H22" s="221"/>
      <c r="I22" s="221"/>
      <c r="J22" s="323">
        <f t="shared" si="0"/>
        <v>5</v>
      </c>
      <c r="K22" s="330">
        <f t="shared" si="1"/>
        <v>222.3</v>
      </c>
    </row>
    <row r="23" spans="2:37" s="61" customFormat="1" ht="42">
      <c r="B23" s="222">
        <v>19</v>
      </c>
      <c r="C23" s="895" t="s">
        <v>460</v>
      </c>
      <c r="D23" s="506">
        <v>4</v>
      </c>
      <c r="E23" s="451">
        <v>98.8</v>
      </c>
      <c r="F23" s="506"/>
      <c r="G23" s="772"/>
      <c r="H23" s="221"/>
      <c r="I23" s="221"/>
      <c r="J23" s="323">
        <f t="shared" si="0"/>
        <v>4</v>
      </c>
      <c r="K23" s="330">
        <f t="shared" si="1"/>
        <v>98.8</v>
      </c>
      <c r="L23" s="1025"/>
      <c r="M23"/>
      <c r="N23"/>
      <c r="O23"/>
      <c r="P23"/>
      <c r="Q23"/>
      <c r="R23"/>
      <c r="S23"/>
      <c r="T23"/>
      <c r="U23"/>
      <c r="V23"/>
      <c r="W23"/>
      <c r="X23"/>
      <c r="Y23"/>
      <c r="Z23"/>
      <c r="AA23"/>
      <c r="AB23"/>
      <c r="AC23"/>
      <c r="AD23"/>
      <c r="AE23"/>
      <c r="AF23"/>
      <c r="AG23"/>
      <c r="AH23"/>
      <c r="AI23"/>
      <c r="AJ23"/>
      <c r="AK23"/>
    </row>
    <row r="24" spans="2:37" s="61" customFormat="1" ht="21">
      <c r="B24" s="222">
        <v>20</v>
      </c>
      <c r="C24" s="895" t="s">
        <v>466</v>
      </c>
      <c r="D24" s="506">
        <v>5</v>
      </c>
      <c r="E24" s="451">
        <v>60.2</v>
      </c>
      <c r="F24" s="506"/>
      <c r="G24" s="772"/>
      <c r="H24" s="221"/>
      <c r="I24" s="221"/>
      <c r="J24" s="323">
        <f t="shared" si="0"/>
        <v>5</v>
      </c>
      <c r="K24" s="330">
        <f t="shared" si="1"/>
        <v>60.2</v>
      </c>
      <c r="L24" s="1025"/>
      <c r="M24"/>
      <c r="N24"/>
      <c r="O24"/>
      <c r="P24"/>
      <c r="Q24"/>
      <c r="R24"/>
      <c r="S24"/>
      <c r="T24"/>
      <c r="U24"/>
      <c r="V24"/>
      <c r="W24"/>
      <c r="X24"/>
      <c r="Y24"/>
      <c r="Z24"/>
      <c r="AA24"/>
      <c r="AB24"/>
      <c r="AC24"/>
      <c r="AD24"/>
      <c r="AE24"/>
      <c r="AF24"/>
      <c r="AG24"/>
      <c r="AH24"/>
      <c r="AI24"/>
      <c r="AJ24"/>
      <c r="AK24"/>
    </row>
    <row r="25" spans="2:13" ht="42">
      <c r="B25" s="222">
        <v>21</v>
      </c>
      <c r="C25" s="895" t="s">
        <v>267</v>
      </c>
      <c r="D25" s="506">
        <v>5</v>
      </c>
      <c r="E25" s="451">
        <v>181.5</v>
      </c>
      <c r="F25" s="449">
        <v>6</v>
      </c>
      <c r="G25" s="450">
        <v>139.2</v>
      </c>
      <c r="H25" s="221"/>
      <c r="I25" s="221"/>
      <c r="J25" s="323">
        <f t="shared" si="0"/>
        <v>5</v>
      </c>
      <c r="K25" s="330">
        <f t="shared" si="1"/>
        <v>320.7</v>
      </c>
      <c r="M25" s="262"/>
    </row>
    <row r="26" spans="2:13" ht="21.75">
      <c r="B26" s="222">
        <v>22</v>
      </c>
      <c r="C26" s="895" t="s">
        <v>666</v>
      </c>
      <c r="D26" s="506">
        <v>6</v>
      </c>
      <c r="E26" s="451">
        <v>91.8</v>
      </c>
      <c r="F26" s="449"/>
      <c r="G26" s="450"/>
      <c r="H26" s="221"/>
      <c r="I26" s="221"/>
      <c r="J26" s="323">
        <f t="shared" si="0"/>
        <v>6</v>
      </c>
      <c r="K26" s="330">
        <f t="shared" si="1"/>
        <v>91.8</v>
      </c>
      <c r="M26" s="262"/>
    </row>
    <row r="27" spans="2:13" ht="42.75" thickBot="1">
      <c r="B27" s="222">
        <v>23</v>
      </c>
      <c r="C27" s="895" t="s">
        <v>464</v>
      </c>
      <c r="D27" s="506">
        <v>6</v>
      </c>
      <c r="E27" s="451">
        <v>81.4</v>
      </c>
      <c r="F27" s="449">
        <v>6</v>
      </c>
      <c r="G27" s="450">
        <v>164.5</v>
      </c>
      <c r="H27" s="221"/>
      <c r="I27" s="221"/>
      <c r="J27" s="323">
        <f t="shared" si="0"/>
        <v>6</v>
      </c>
      <c r="K27" s="330">
        <f t="shared" si="1"/>
        <v>245.9</v>
      </c>
      <c r="L27" s="289"/>
      <c r="M27" s="262"/>
    </row>
    <row r="28" spans="1:11" s="904" customFormat="1" ht="21" thickBot="1">
      <c r="A28" s="898"/>
      <c r="B28" s="331"/>
      <c r="C28" s="899" t="s">
        <v>107</v>
      </c>
      <c r="D28" s="900">
        <f>SUM(D5:D27)</f>
        <v>93</v>
      </c>
      <c r="E28" s="901">
        <f>SUM(E5:E27)</f>
        <v>2069</v>
      </c>
      <c r="F28" s="900">
        <f>SUM(F5:F27)</f>
        <v>94</v>
      </c>
      <c r="G28" s="902">
        <f>SUM(G5:G27)</f>
        <v>3978.7</v>
      </c>
      <c r="H28" s="664">
        <f>SUM(H5:H22)</f>
        <v>0</v>
      </c>
      <c r="I28" s="900">
        <f>SUM(I5:I22)</f>
        <v>0</v>
      </c>
      <c r="J28" s="900">
        <f>SUM(J5:J27)</f>
        <v>93</v>
      </c>
      <c r="K28" s="903">
        <f>SUM(K5:K27)</f>
        <v>6047.7</v>
      </c>
    </row>
    <row r="29" spans="5:11" s="88" customFormat="1" ht="23.25" customHeight="1">
      <c r="E29" s="905"/>
      <c r="F29" s="904"/>
      <c r="G29" s="906"/>
      <c r="H29" s="904"/>
      <c r="I29" s="904"/>
      <c r="J29" s="904"/>
      <c r="K29" s="906"/>
    </row>
    <row r="30" spans="2:37" s="61" customFormat="1" ht="23.25" customHeight="1">
      <c r="B30" s="88"/>
      <c r="E30" s="597"/>
      <c r="F30" s="326"/>
      <c r="G30" s="327"/>
      <c r="H30" s="326"/>
      <c r="I30" s="326"/>
      <c r="J30" s="326"/>
      <c r="K30" s="327"/>
      <c r="M30"/>
      <c r="N30"/>
      <c r="O30"/>
      <c r="P30"/>
      <c r="Q30"/>
      <c r="R30"/>
      <c r="S30"/>
      <c r="T30"/>
      <c r="U30"/>
      <c r="V30"/>
      <c r="W30"/>
      <c r="X30"/>
      <c r="Y30"/>
      <c r="Z30"/>
      <c r="AA30"/>
      <c r="AB30"/>
      <c r="AC30"/>
      <c r="AD30"/>
      <c r="AE30"/>
      <c r="AF30"/>
      <c r="AG30"/>
      <c r="AH30"/>
      <c r="AI30"/>
      <c r="AJ30"/>
      <c r="AK30"/>
    </row>
    <row r="31" spans="2:37" s="61" customFormat="1" ht="23.25" customHeight="1">
      <c r="B31" s="88"/>
      <c r="E31" s="597"/>
      <c r="F31" s="326"/>
      <c r="G31" s="327"/>
      <c r="H31" s="326"/>
      <c r="I31" s="326"/>
      <c r="J31" s="326"/>
      <c r="K31" s="327"/>
      <c r="M31"/>
      <c r="N31"/>
      <c r="O31"/>
      <c r="P31"/>
      <c r="Q31"/>
      <c r="R31"/>
      <c r="S31"/>
      <c r="T31"/>
      <c r="U31"/>
      <c r="V31"/>
      <c r="W31"/>
      <c r="X31"/>
      <c r="Y31"/>
      <c r="Z31"/>
      <c r="AA31"/>
      <c r="AB31"/>
      <c r="AC31"/>
      <c r="AD31"/>
      <c r="AE31"/>
      <c r="AF31"/>
      <c r="AG31"/>
      <c r="AH31"/>
      <c r="AI31"/>
      <c r="AJ31"/>
      <c r="AK31"/>
    </row>
  </sheetData>
  <sheetProtection/>
  <mergeCells count="7">
    <mergeCell ref="A3:A4"/>
    <mergeCell ref="B3:C4"/>
    <mergeCell ref="J3:K3"/>
    <mergeCell ref="H3:H4"/>
    <mergeCell ref="I3:I4"/>
    <mergeCell ref="F3:G3"/>
    <mergeCell ref="D3:E3"/>
  </mergeCells>
  <printOptions horizontalCentered="1"/>
  <pageMargins left="0.15748031496062992" right="0.15748031496062992" top="0.31496062992125984" bottom="0.15748031496062992" header="0.31496062992125984" footer="0.4724409448818898"/>
  <pageSetup horizontalDpi="600" verticalDpi="600" orientation="landscape" paperSize="9" r:id="rId1"/>
  <rowBreaks count="1" manualBreakCount="1">
    <brk id="15" max="10" man="1"/>
  </rowBreaks>
</worksheet>
</file>

<file path=xl/worksheets/sheet9.xml><?xml version="1.0" encoding="utf-8"?>
<worksheet xmlns="http://schemas.openxmlformats.org/spreadsheetml/2006/main" xmlns:r="http://schemas.openxmlformats.org/officeDocument/2006/relationships">
  <sheetPr>
    <tabColor indexed="14"/>
  </sheetPr>
  <dimension ref="A1:BS437"/>
  <sheetViews>
    <sheetView zoomScalePageLayoutView="0" workbookViewId="0" topLeftCell="A1">
      <pane xSplit="1" ySplit="3" topLeftCell="B4" activePane="bottomRight" state="frozen"/>
      <selection pane="topLeft" activeCell="L32" sqref="L32"/>
      <selection pane="topRight" activeCell="L32" sqref="L32"/>
      <selection pane="bottomLeft" activeCell="L32" sqref="L32"/>
      <selection pane="bottomRight" activeCell="A32" sqref="A32:S32"/>
    </sheetView>
  </sheetViews>
  <sheetFormatPr defaultColWidth="9.140625" defaultRowHeight="12.75"/>
  <cols>
    <col min="1" max="1" width="26.28125" style="98" customWidth="1"/>
    <col min="2" max="2" width="4.8515625" style="98" customWidth="1"/>
    <col min="3" max="3" width="9.421875" style="233" customWidth="1"/>
    <col min="4" max="4" width="5.00390625" style="98" bestFit="1" customWidth="1"/>
    <col min="5" max="5" width="8.421875" style="233" customWidth="1"/>
    <col min="6" max="6" width="5.57421875" style="98" customWidth="1"/>
    <col min="7" max="7" width="8.28125" style="233" bestFit="1" customWidth="1"/>
    <col min="8" max="8" width="4.00390625" style="98" customWidth="1"/>
    <col min="9" max="9" width="8.28125" style="233" bestFit="1" customWidth="1"/>
    <col min="10" max="10" width="4.7109375" style="98" bestFit="1" customWidth="1"/>
    <col min="11" max="11" width="8.28125" style="233" bestFit="1" customWidth="1"/>
    <col min="12" max="12" width="5.00390625" style="98" customWidth="1"/>
    <col min="13" max="13" width="9.00390625" style="233" bestFit="1" customWidth="1"/>
    <col min="14" max="14" width="5.00390625" style="98" bestFit="1" customWidth="1"/>
    <col min="15" max="15" width="8.28125" style="98" bestFit="1" customWidth="1"/>
    <col min="16" max="16" width="6.28125" style="98" customWidth="1"/>
    <col min="17" max="17" width="9.8515625" style="98" customWidth="1"/>
    <col min="18" max="18" width="6.28125" style="163" customWidth="1"/>
    <col min="19" max="19" width="10.28125" style="162" customWidth="1"/>
    <col min="20" max="26" width="10.8515625" style="162" customWidth="1"/>
    <col min="27" max="40" width="11.421875" style="54" customWidth="1"/>
    <col min="41" max="41" width="17.421875" style="0" customWidth="1"/>
    <col min="42" max="42" width="5.00390625" style="0" customWidth="1"/>
    <col min="44" max="44" width="4.7109375" style="0" customWidth="1"/>
    <col min="45" max="45" width="7.7109375" style="0" customWidth="1"/>
    <col min="46" max="46" width="4.7109375" style="0" customWidth="1"/>
    <col min="47" max="47" width="8.140625" style="0" customWidth="1"/>
    <col min="48" max="48" width="4.7109375" style="0" customWidth="1"/>
    <col min="49" max="49" width="8.140625" style="0" customWidth="1"/>
    <col min="50" max="50" width="4.7109375" style="0" customWidth="1"/>
    <col min="51" max="51" width="7.7109375" style="0" customWidth="1"/>
    <col min="52" max="52" width="4.00390625" style="0" customWidth="1"/>
    <col min="53" max="53" width="7.28125" style="0" customWidth="1"/>
    <col min="54" max="54" width="4.7109375" style="0" customWidth="1"/>
    <col min="55" max="55" width="8.28125" style="0" customWidth="1"/>
    <col min="56" max="56" width="4.7109375" style="0" customWidth="1"/>
    <col min="57" max="57" width="8.7109375" style="0" customWidth="1"/>
    <col min="58" max="58" width="4.7109375" style="0" customWidth="1"/>
    <col min="59" max="59" width="8.28125" style="0" customWidth="1"/>
    <col min="60" max="60" width="4.7109375" style="0" customWidth="1"/>
    <col min="62" max="62" width="4.7109375" style="0" customWidth="1"/>
    <col min="72" max="16384" width="9.140625" style="98" customWidth="1"/>
  </cols>
  <sheetData>
    <row r="1" spans="1:71" s="56" customFormat="1" ht="25.5" customHeight="1" thickBot="1">
      <c r="A1" s="157" t="s">
        <v>399</v>
      </c>
      <c r="B1" s="97"/>
      <c r="C1" s="231"/>
      <c r="D1" s="97"/>
      <c r="E1" s="231"/>
      <c r="F1" s="97"/>
      <c r="G1" s="231"/>
      <c r="H1" s="97"/>
      <c r="I1" s="231"/>
      <c r="J1" s="97"/>
      <c r="K1" s="231"/>
      <c r="L1" s="97"/>
      <c r="M1" s="231"/>
      <c r="N1" s="69"/>
      <c r="O1" s="69"/>
      <c r="P1" s="69"/>
      <c r="Q1" s="39" t="s">
        <v>108</v>
      </c>
      <c r="R1" s="163"/>
      <c r="S1" s="162"/>
      <c r="T1" s="162"/>
      <c r="U1" s="162"/>
      <c r="V1" s="162"/>
      <c r="W1" s="162"/>
      <c r="X1" s="162"/>
      <c r="Y1" s="162"/>
      <c r="Z1" s="162"/>
      <c r="AA1" s="54"/>
      <c r="AB1" s="54"/>
      <c r="AC1" s="54"/>
      <c r="AD1" s="54"/>
      <c r="AE1" s="54"/>
      <c r="AF1" s="54"/>
      <c r="AG1" s="54"/>
      <c r="AH1" s="54"/>
      <c r="AI1" s="54"/>
      <c r="AJ1" s="54"/>
      <c r="AK1" s="54"/>
      <c r="AL1" s="54"/>
      <c r="AM1" s="54"/>
      <c r="AN1" s="54"/>
      <c r="AO1"/>
      <c r="AP1"/>
      <c r="AQ1"/>
      <c r="AR1"/>
      <c r="AS1"/>
      <c r="AT1"/>
      <c r="AU1"/>
      <c r="AV1"/>
      <c r="AW1"/>
      <c r="AX1"/>
      <c r="AY1"/>
      <c r="AZ1"/>
      <c r="BA1"/>
      <c r="BB1"/>
      <c r="BC1"/>
      <c r="BD1"/>
      <c r="BE1"/>
      <c r="BF1"/>
      <c r="BG1"/>
      <c r="BH1"/>
      <c r="BI1"/>
      <c r="BJ1"/>
      <c r="BK1"/>
      <c r="BL1"/>
      <c r="BM1"/>
      <c r="BN1"/>
      <c r="BO1"/>
      <c r="BP1"/>
      <c r="BQ1"/>
      <c r="BR1"/>
      <c r="BS1"/>
    </row>
    <row r="2" spans="1:49" s="7" customFormat="1" ht="69.75" customHeight="1" thickBot="1">
      <c r="A2" s="1248" t="s">
        <v>1</v>
      </c>
      <c r="B2" s="1250" t="s">
        <v>63</v>
      </c>
      <c r="C2" s="1250"/>
      <c r="D2" s="1251" t="s">
        <v>76</v>
      </c>
      <c r="E2" s="1251"/>
      <c r="F2" s="1251" t="s">
        <v>136</v>
      </c>
      <c r="G2" s="1251"/>
      <c r="H2" s="1253" t="s">
        <v>69</v>
      </c>
      <c r="I2" s="1253"/>
      <c r="J2" s="1251" t="s">
        <v>70</v>
      </c>
      <c r="K2" s="1251"/>
      <c r="L2" s="1254" t="s">
        <v>71</v>
      </c>
      <c r="M2" s="1254"/>
      <c r="N2" s="1253" t="s">
        <v>72</v>
      </c>
      <c r="O2" s="1253"/>
      <c r="P2" s="1253" t="s">
        <v>73</v>
      </c>
      <c r="Q2" s="1253"/>
      <c r="R2" s="1252" t="s">
        <v>58</v>
      </c>
      <c r="S2" s="1252"/>
      <c r="T2"/>
      <c r="U2"/>
      <c r="V2"/>
      <c r="W2"/>
      <c r="X2"/>
      <c r="Y2"/>
      <c r="Z2"/>
      <c r="AA2"/>
      <c r="AB2"/>
      <c r="AC2"/>
      <c r="AD2"/>
      <c r="AE2"/>
      <c r="AF2"/>
      <c r="AG2"/>
      <c r="AH2"/>
      <c r="AI2"/>
      <c r="AJ2"/>
      <c r="AK2"/>
      <c r="AL2"/>
      <c r="AM2"/>
      <c r="AN2"/>
      <c r="AO2"/>
      <c r="AP2"/>
      <c r="AQ2"/>
      <c r="AR2"/>
      <c r="AS2"/>
      <c r="AT2"/>
      <c r="AU2"/>
      <c r="AV2"/>
      <c r="AW2"/>
    </row>
    <row r="3" spans="1:49" s="109" customFormat="1" ht="28.5" customHeight="1" thickBot="1">
      <c r="A3" s="1249"/>
      <c r="B3" s="119" t="s">
        <v>10</v>
      </c>
      <c r="C3" s="257" t="s">
        <v>9</v>
      </c>
      <c r="D3" s="119" t="s">
        <v>10</v>
      </c>
      <c r="E3" s="257" t="s">
        <v>9</v>
      </c>
      <c r="F3" s="119" t="s">
        <v>10</v>
      </c>
      <c r="G3" s="265" t="s">
        <v>9</v>
      </c>
      <c r="H3" s="119" t="s">
        <v>10</v>
      </c>
      <c r="I3" s="265" t="s">
        <v>9</v>
      </c>
      <c r="J3" s="119" t="s">
        <v>10</v>
      </c>
      <c r="K3" s="265" t="s">
        <v>9</v>
      </c>
      <c r="L3" s="119" t="s">
        <v>10</v>
      </c>
      <c r="M3" s="265" t="s">
        <v>9</v>
      </c>
      <c r="N3" s="119" t="s">
        <v>10</v>
      </c>
      <c r="O3" s="265" t="s">
        <v>9</v>
      </c>
      <c r="P3" s="119" t="s">
        <v>10</v>
      </c>
      <c r="Q3" s="265" t="s">
        <v>9</v>
      </c>
      <c r="R3" s="119" t="s">
        <v>10</v>
      </c>
      <c r="S3" s="257" t="s">
        <v>9</v>
      </c>
      <c r="T3"/>
      <c r="U3"/>
      <c r="V3"/>
      <c r="W3"/>
      <c r="X3"/>
      <c r="Y3"/>
      <c r="Z3"/>
      <c r="AA3"/>
      <c r="AB3"/>
      <c r="AC3"/>
      <c r="AD3"/>
      <c r="AE3"/>
      <c r="AF3"/>
      <c r="AG3"/>
      <c r="AH3"/>
      <c r="AI3"/>
      <c r="AJ3"/>
      <c r="AK3"/>
      <c r="AL3"/>
      <c r="AM3"/>
      <c r="AN3"/>
      <c r="AO3"/>
      <c r="AP3"/>
      <c r="AQ3"/>
      <c r="AR3"/>
      <c r="AS3"/>
      <c r="AT3"/>
      <c r="AU3"/>
      <c r="AV3"/>
      <c r="AW3"/>
    </row>
    <row r="4" spans="1:49" s="109" customFormat="1" ht="23.25" customHeight="1">
      <c r="A4" s="1060" t="s">
        <v>134</v>
      </c>
      <c r="B4" s="153"/>
      <c r="C4" s="260"/>
      <c r="D4" s="153"/>
      <c r="E4" s="260"/>
      <c r="F4" s="153"/>
      <c r="G4" s="260"/>
      <c r="H4" s="153"/>
      <c r="I4" s="260"/>
      <c r="J4" s="153"/>
      <c r="K4" s="260"/>
      <c r="L4" s="153"/>
      <c r="M4" s="260"/>
      <c r="N4" s="153"/>
      <c r="O4" s="260"/>
      <c r="P4" s="153"/>
      <c r="Q4" s="260"/>
      <c r="R4" s="151"/>
      <c r="S4" s="600"/>
      <c r="T4"/>
      <c r="U4"/>
      <c r="V4"/>
      <c r="W4"/>
      <c r="X4"/>
      <c r="Y4"/>
      <c r="Z4"/>
      <c r="AA4"/>
      <c r="AB4"/>
      <c r="AC4"/>
      <c r="AD4"/>
      <c r="AE4"/>
      <c r="AF4"/>
      <c r="AG4"/>
      <c r="AH4"/>
      <c r="AI4"/>
      <c r="AJ4"/>
      <c r="AK4"/>
      <c r="AL4"/>
      <c r="AM4"/>
      <c r="AN4"/>
      <c r="AO4"/>
      <c r="AP4"/>
      <c r="AQ4"/>
      <c r="AR4"/>
      <c r="AS4"/>
      <c r="AT4"/>
      <c r="AU4"/>
      <c r="AV4"/>
      <c r="AW4"/>
    </row>
    <row r="5" spans="1:49" s="109" customFormat="1" ht="23.25" customHeight="1">
      <c r="A5" s="10" t="s">
        <v>11</v>
      </c>
      <c r="B5" s="1051">
        <v>1</v>
      </c>
      <c r="C5" s="1052">
        <v>54.9</v>
      </c>
      <c r="D5" s="1051"/>
      <c r="E5" s="1052"/>
      <c r="F5" s="1051"/>
      <c r="G5" s="1052"/>
      <c r="H5" s="1051"/>
      <c r="I5" s="1052"/>
      <c r="J5" s="1051"/>
      <c r="K5" s="1052"/>
      <c r="L5" s="1051"/>
      <c r="M5" s="1052"/>
      <c r="N5" s="1051"/>
      <c r="O5" s="1052"/>
      <c r="P5" s="1051">
        <v>2</v>
      </c>
      <c r="Q5" s="1052">
        <v>283.4</v>
      </c>
      <c r="R5" s="151">
        <f aca="true" t="shared" si="0" ref="R5:R41">SUM(B5,J5,N5,D5,F5,H5,L5,P5)</f>
        <v>3</v>
      </c>
      <c r="S5" s="600">
        <f aca="true" t="shared" si="1" ref="S5:S41">SUM(C5,K5,O5,E5,G5,I5,M5,Q5)</f>
        <v>338.29999999999995</v>
      </c>
      <c r="T5"/>
      <c r="U5"/>
      <c r="V5"/>
      <c r="W5"/>
      <c r="X5"/>
      <c r="Y5"/>
      <c r="Z5"/>
      <c r="AA5"/>
      <c r="AB5"/>
      <c r="AC5"/>
      <c r="AD5"/>
      <c r="AE5"/>
      <c r="AF5"/>
      <c r="AG5"/>
      <c r="AH5"/>
      <c r="AI5"/>
      <c r="AJ5"/>
      <c r="AK5"/>
      <c r="AL5"/>
      <c r="AM5"/>
      <c r="AN5"/>
      <c r="AO5"/>
      <c r="AP5"/>
      <c r="AQ5"/>
      <c r="AR5"/>
      <c r="AS5"/>
      <c r="AT5"/>
      <c r="AU5"/>
      <c r="AV5"/>
      <c r="AW5"/>
    </row>
    <row r="6" spans="1:49" s="109" customFormat="1" ht="23.25" customHeight="1">
      <c r="A6" s="10" t="s">
        <v>12</v>
      </c>
      <c r="B6" s="1051"/>
      <c r="C6" s="1052"/>
      <c r="D6" s="1051"/>
      <c r="E6" s="1052"/>
      <c r="F6" s="1051"/>
      <c r="G6" s="1052"/>
      <c r="H6" s="1051"/>
      <c r="I6" s="1052"/>
      <c r="J6" s="1051"/>
      <c r="K6" s="1052"/>
      <c r="L6" s="1051"/>
      <c r="M6" s="1052"/>
      <c r="N6" s="1051"/>
      <c r="O6" s="1052"/>
      <c r="P6" s="1051">
        <v>2</v>
      </c>
      <c r="Q6" s="1052">
        <v>268.6</v>
      </c>
      <c r="R6" s="151">
        <f t="shared" si="0"/>
        <v>2</v>
      </c>
      <c r="S6" s="600">
        <f t="shared" si="1"/>
        <v>268.6</v>
      </c>
      <c r="T6"/>
      <c r="U6"/>
      <c r="V6"/>
      <c r="W6"/>
      <c r="X6"/>
      <c r="Y6"/>
      <c r="Z6"/>
      <c r="AA6"/>
      <c r="AB6"/>
      <c r="AC6"/>
      <c r="AD6"/>
      <c r="AE6"/>
      <c r="AF6"/>
      <c r="AG6"/>
      <c r="AH6"/>
      <c r="AI6"/>
      <c r="AJ6"/>
      <c r="AK6"/>
      <c r="AL6"/>
      <c r="AM6"/>
      <c r="AN6"/>
      <c r="AO6"/>
      <c r="AP6"/>
      <c r="AQ6"/>
      <c r="AR6"/>
      <c r="AS6"/>
      <c r="AT6"/>
      <c r="AU6"/>
      <c r="AV6"/>
      <c r="AW6"/>
    </row>
    <row r="7" spans="1:49" s="109" customFormat="1" ht="23.25" customHeight="1">
      <c r="A7" s="10" t="s">
        <v>13</v>
      </c>
      <c r="B7" s="1051">
        <v>1</v>
      </c>
      <c r="C7" s="1052">
        <v>40</v>
      </c>
      <c r="D7" s="1051"/>
      <c r="E7" s="1052"/>
      <c r="F7" s="1051"/>
      <c r="G7" s="1052"/>
      <c r="H7" s="1051"/>
      <c r="I7" s="1052"/>
      <c r="J7" s="1051"/>
      <c r="K7" s="1052"/>
      <c r="L7" s="1051"/>
      <c r="M7" s="1052"/>
      <c r="N7" s="1051"/>
      <c r="O7" s="1052"/>
      <c r="P7" s="1051"/>
      <c r="Q7" s="1052"/>
      <c r="R7" s="151">
        <f t="shared" si="0"/>
        <v>1</v>
      </c>
      <c r="S7" s="600">
        <f t="shared" si="1"/>
        <v>40</v>
      </c>
      <c r="T7"/>
      <c r="U7"/>
      <c r="V7"/>
      <c r="W7"/>
      <c r="X7"/>
      <c r="Y7"/>
      <c r="Z7"/>
      <c r="AA7"/>
      <c r="AB7"/>
      <c r="AC7"/>
      <c r="AD7"/>
      <c r="AE7"/>
      <c r="AF7"/>
      <c r="AG7"/>
      <c r="AH7"/>
      <c r="AI7"/>
      <c r="AJ7"/>
      <c r="AK7"/>
      <c r="AL7"/>
      <c r="AM7"/>
      <c r="AN7"/>
      <c r="AO7"/>
      <c r="AP7"/>
      <c r="AQ7"/>
      <c r="AR7"/>
      <c r="AS7"/>
      <c r="AT7"/>
      <c r="AU7"/>
      <c r="AV7"/>
      <c r="AW7"/>
    </row>
    <row r="8" spans="1:49" s="109" customFormat="1" ht="23.25" customHeight="1">
      <c r="A8" s="16" t="s">
        <v>14</v>
      </c>
      <c r="B8" s="1067">
        <v>1</v>
      </c>
      <c r="C8" s="1068">
        <v>56.4</v>
      </c>
      <c r="D8" s="1067"/>
      <c r="E8" s="1068"/>
      <c r="F8" s="1067"/>
      <c r="G8" s="1068"/>
      <c r="H8" s="1067"/>
      <c r="I8" s="1068"/>
      <c r="J8" s="1067"/>
      <c r="K8" s="1068"/>
      <c r="L8" s="1067"/>
      <c r="M8" s="1068"/>
      <c r="N8" s="1067"/>
      <c r="O8" s="1068"/>
      <c r="P8" s="1067">
        <v>1</v>
      </c>
      <c r="Q8" s="1068">
        <v>119.6</v>
      </c>
      <c r="R8" s="275">
        <f t="shared" si="0"/>
        <v>2</v>
      </c>
      <c r="S8" s="601">
        <f t="shared" si="1"/>
        <v>176</v>
      </c>
      <c r="T8"/>
      <c r="U8"/>
      <c r="V8"/>
      <c r="W8"/>
      <c r="X8"/>
      <c r="Y8"/>
      <c r="Z8"/>
      <c r="AA8"/>
      <c r="AB8"/>
      <c r="AC8"/>
      <c r="AD8"/>
      <c r="AE8"/>
      <c r="AF8"/>
      <c r="AG8"/>
      <c r="AH8"/>
      <c r="AI8"/>
      <c r="AJ8"/>
      <c r="AK8"/>
      <c r="AL8"/>
      <c r="AM8"/>
      <c r="AN8"/>
      <c r="AO8"/>
      <c r="AP8"/>
      <c r="AQ8"/>
      <c r="AR8"/>
      <c r="AS8"/>
      <c r="AT8"/>
      <c r="AU8"/>
      <c r="AV8"/>
      <c r="AW8"/>
    </row>
    <row r="9" spans="1:49" s="109" customFormat="1" ht="23.25" customHeight="1">
      <c r="A9" s="1060" t="s">
        <v>15</v>
      </c>
      <c r="B9" s="1051"/>
      <c r="C9" s="1052"/>
      <c r="D9" s="1051"/>
      <c r="E9" s="1052"/>
      <c r="F9" s="1051"/>
      <c r="G9" s="1052"/>
      <c r="H9" s="1051"/>
      <c r="I9" s="1052"/>
      <c r="J9" s="1051"/>
      <c r="K9" s="1052"/>
      <c r="L9" s="1051"/>
      <c r="M9" s="1052"/>
      <c r="N9" s="1051"/>
      <c r="O9" s="1052"/>
      <c r="P9" s="1051"/>
      <c r="Q9" s="1052"/>
      <c r="R9" s="151"/>
      <c r="S9" s="600"/>
      <c r="T9"/>
      <c r="U9"/>
      <c r="V9"/>
      <c r="W9"/>
      <c r="X9"/>
      <c r="Y9"/>
      <c r="Z9"/>
      <c r="AA9"/>
      <c r="AB9"/>
      <c r="AC9"/>
      <c r="AD9"/>
      <c r="AE9"/>
      <c r="AF9"/>
      <c r="AG9"/>
      <c r="AH9"/>
      <c r="AI9"/>
      <c r="AJ9"/>
      <c r="AK9"/>
      <c r="AL9"/>
      <c r="AM9"/>
      <c r="AN9"/>
      <c r="AO9"/>
      <c r="AP9"/>
      <c r="AQ9"/>
      <c r="AR9"/>
      <c r="AS9"/>
      <c r="AT9"/>
      <c r="AU9"/>
      <c r="AV9"/>
      <c r="AW9"/>
    </row>
    <row r="10" spans="1:49" s="109" customFormat="1" ht="19.5" customHeight="1">
      <c r="A10" s="113" t="s">
        <v>87</v>
      </c>
      <c r="B10" s="1053">
        <v>8</v>
      </c>
      <c r="C10" s="1054">
        <v>773.3</v>
      </c>
      <c r="D10" s="1053"/>
      <c r="E10" s="1054"/>
      <c r="F10" s="1053"/>
      <c r="G10" s="1054"/>
      <c r="H10" s="1053">
        <v>2</v>
      </c>
      <c r="I10" s="1054">
        <v>130.2</v>
      </c>
      <c r="J10" s="1053"/>
      <c r="K10" s="1054"/>
      <c r="L10" s="1053"/>
      <c r="M10" s="1054"/>
      <c r="N10" s="1053"/>
      <c r="O10" s="1054"/>
      <c r="P10" s="1053"/>
      <c r="Q10" s="1054"/>
      <c r="R10" s="151">
        <f t="shared" si="0"/>
        <v>10</v>
      </c>
      <c r="S10" s="600">
        <f t="shared" si="1"/>
        <v>903.5</v>
      </c>
      <c r="T10"/>
      <c r="U10"/>
      <c r="V10"/>
      <c r="W10"/>
      <c r="X10"/>
      <c r="Y10"/>
      <c r="Z10"/>
      <c r="AA10"/>
      <c r="AB10"/>
      <c r="AC10"/>
      <c r="AD10"/>
      <c r="AE10"/>
      <c r="AF10"/>
      <c r="AG10"/>
      <c r="AH10"/>
      <c r="AI10"/>
      <c r="AJ10"/>
      <c r="AK10"/>
      <c r="AL10"/>
      <c r="AM10"/>
      <c r="AN10"/>
      <c r="AO10"/>
      <c r="AP10"/>
      <c r="AQ10"/>
      <c r="AR10"/>
      <c r="AS10"/>
      <c r="AT10"/>
      <c r="AU10"/>
      <c r="AV10"/>
      <c r="AW10"/>
    </row>
    <row r="11" spans="1:49" s="109" customFormat="1" ht="19.5" customHeight="1">
      <c r="A11" s="113" t="s">
        <v>109</v>
      </c>
      <c r="B11" s="1053">
        <v>3</v>
      </c>
      <c r="C11" s="1054">
        <v>208.2</v>
      </c>
      <c r="D11" s="1053"/>
      <c r="E11" s="1054"/>
      <c r="F11" s="1053"/>
      <c r="G11" s="1054"/>
      <c r="H11" s="1053"/>
      <c r="I11" s="1054"/>
      <c r="J11" s="1053"/>
      <c r="K11" s="1054"/>
      <c r="L11" s="1053"/>
      <c r="M11" s="1054"/>
      <c r="N11" s="1053"/>
      <c r="O11" s="1054"/>
      <c r="P11" s="1053"/>
      <c r="Q11" s="1054"/>
      <c r="R11" s="151">
        <f t="shared" si="0"/>
        <v>3</v>
      </c>
      <c r="S11" s="600">
        <f t="shared" si="1"/>
        <v>208.2</v>
      </c>
      <c r="T11"/>
      <c r="U11"/>
      <c r="V11"/>
      <c r="W11"/>
      <c r="X11"/>
      <c r="Y11"/>
      <c r="Z11"/>
      <c r="AA11"/>
      <c r="AB11"/>
      <c r="AC11"/>
      <c r="AD11"/>
      <c r="AE11"/>
      <c r="AF11"/>
      <c r="AG11"/>
      <c r="AH11"/>
      <c r="AI11"/>
      <c r="AJ11"/>
      <c r="AK11"/>
      <c r="AL11"/>
      <c r="AM11"/>
      <c r="AN11"/>
      <c r="AO11"/>
      <c r="AP11"/>
      <c r="AQ11"/>
      <c r="AR11"/>
      <c r="AS11"/>
      <c r="AT11"/>
      <c r="AU11"/>
      <c r="AV11"/>
      <c r="AW11"/>
    </row>
    <row r="12" spans="1:49" s="109" customFormat="1" ht="19.5" customHeight="1">
      <c r="A12" s="113" t="s">
        <v>88</v>
      </c>
      <c r="B12" s="1053">
        <v>2</v>
      </c>
      <c r="C12" s="1054">
        <v>153.3</v>
      </c>
      <c r="D12" s="1053"/>
      <c r="E12" s="1054"/>
      <c r="F12" s="1053"/>
      <c r="G12" s="1054"/>
      <c r="H12" s="1053">
        <v>1</v>
      </c>
      <c r="I12" s="1054">
        <v>69</v>
      </c>
      <c r="J12" s="1053"/>
      <c r="K12" s="1054"/>
      <c r="L12" s="1053">
        <v>1</v>
      </c>
      <c r="M12" s="1054">
        <v>107.4</v>
      </c>
      <c r="N12" s="1053"/>
      <c r="O12" s="1054"/>
      <c r="P12" s="1053">
        <v>2</v>
      </c>
      <c r="Q12" s="1054">
        <v>278.6</v>
      </c>
      <c r="R12" s="151">
        <f t="shared" si="0"/>
        <v>6</v>
      </c>
      <c r="S12" s="600">
        <f t="shared" si="1"/>
        <v>608.3000000000001</v>
      </c>
      <c r="T12"/>
      <c r="U12"/>
      <c r="V12"/>
      <c r="W12"/>
      <c r="X12"/>
      <c r="Y12"/>
      <c r="Z12"/>
      <c r="AA12"/>
      <c r="AB12"/>
      <c r="AC12"/>
      <c r="AD12"/>
      <c r="AE12"/>
      <c r="AF12"/>
      <c r="AG12"/>
      <c r="AH12"/>
      <c r="AI12"/>
      <c r="AJ12"/>
      <c r="AK12"/>
      <c r="AL12"/>
      <c r="AM12"/>
      <c r="AN12"/>
      <c r="AO12"/>
      <c r="AP12"/>
      <c r="AQ12"/>
      <c r="AR12"/>
      <c r="AS12"/>
      <c r="AT12"/>
      <c r="AU12"/>
      <c r="AV12"/>
      <c r="AW12"/>
    </row>
    <row r="13" spans="1:49" s="109" customFormat="1" ht="19.5" customHeight="1">
      <c r="A13" s="16" t="s">
        <v>83</v>
      </c>
      <c r="B13" s="1069"/>
      <c r="C13" s="1070"/>
      <c r="D13" s="1069"/>
      <c r="E13" s="1070"/>
      <c r="F13" s="1069"/>
      <c r="G13" s="1070"/>
      <c r="H13" s="1069"/>
      <c r="I13" s="1070"/>
      <c r="J13" s="1069"/>
      <c r="K13" s="1070"/>
      <c r="L13" s="1069"/>
      <c r="M13" s="1070"/>
      <c r="N13" s="1069"/>
      <c r="O13" s="1070"/>
      <c r="P13" s="1069"/>
      <c r="Q13" s="1070"/>
      <c r="R13" s="275">
        <f t="shared" si="0"/>
        <v>0</v>
      </c>
      <c r="S13" s="601">
        <f t="shared" si="1"/>
        <v>0</v>
      </c>
      <c r="T13"/>
      <c r="U13"/>
      <c r="V13"/>
      <c r="W13"/>
      <c r="X13"/>
      <c r="Y13"/>
      <c r="Z13"/>
      <c r="AA13"/>
      <c r="AB13"/>
      <c r="AC13"/>
      <c r="AD13"/>
      <c r="AE13"/>
      <c r="AF13"/>
      <c r="AG13"/>
      <c r="AH13"/>
      <c r="AI13"/>
      <c r="AJ13"/>
      <c r="AK13"/>
      <c r="AL13"/>
      <c r="AM13"/>
      <c r="AN13"/>
      <c r="AO13"/>
      <c r="AP13"/>
      <c r="AQ13"/>
      <c r="AR13"/>
      <c r="AS13"/>
      <c r="AT13"/>
      <c r="AU13"/>
      <c r="AV13"/>
      <c r="AW13"/>
    </row>
    <row r="14" spans="1:49" s="109" customFormat="1" ht="23.25" customHeight="1">
      <c r="A14" s="1061" t="s">
        <v>23</v>
      </c>
      <c r="B14" s="1051"/>
      <c r="C14" s="1052"/>
      <c r="D14" s="1051"/>
      <c r="E14" s="1052"/>
      <c r="F14" s="1051"/>
      <c r="G14" s="1052"/>
      <c r="H14" s="1051"/>
      <c r="I14" s="1052"/>
      <c r="J14" s="1051"/>
      <c r="K14" s="1052"/>
      <c r="L14" s="1051"/>
      <c r="M14" s="1052"/>
      <c r="N14" s="1051"/>
      <c r="O14" s="1052"/>
      <c r="P14" s="1051"/>
      <c r="Q14" s="1052"/>
      <c r="R14" s="151"/>
      <c r="S14" s="600"/>
      <c r="T14"/>
      <c r="U14"/>
      <c r="V14"/>
      <c r="W14"/>
      <c r="X14"/>
      <c r="Y14"/>
      <c r="Z14"/>
      <c r="AA14"/>
      <c r="AB14"/>
      <c r="AC14"/>
      <c r="AD14"/>
      <c r="AE14"/>
      <c r="AF14"/>
      <c r="AG14"/>
      <c r="AH14"/>
      <c r="AI14"/>
      <c r="AJ14"/>
      <c r="AK14"/>
      <c r="AL14"/>
      <c r="AM14"/>
      <c r="AN14"/>
      <c r="AO14"/>
      <c r="AP14"/>
      <c r="AQ14"/>
      <c r="AR14"/>
      <c r="AS14"/>
      <c r="AT14"/>
      <c r="AU14"/>
      <c r="AV14"/>
      <c r="AW14"/>
    </row>
    <row r="15" spans="1:49" s="109" customFormat="1" ht="20.25" customHeight="1">
      <c r="A15" s="10" t="s">
        <v>348</v>
      </c>
      <c r="B15" s="1053">
        <v>1</v>
      </c>
      <c r="C15" s="1054">
        <v>142.1</v>
      </c>
      <c r="D15" s="1053"/>
      <c r="E15" s="1054"/>
      <c r="F15" s="1053"/>
      <c r="G15" s="1054"/>
      <c r="H15" s="1053"/>
      <c r="I15" s="1054"/>
      <c r="J15" s="1053"/>
      <c r="K15" s="1054"/>
      <c r="L15" s="1053"/>
      <c r="M15" s="1054"/>
      <c r="N15" s="1053"/>
      <c r="O15" s="1054"/>
      <c r="P15" s="1053"/>
      <c r="Q15" s="1054"/>
      <c r="R15" s="151">
        <f t="shared" si="0"/>
        <v>1</v>
      </c>
      <c r="S15" s="600">
        <f t="shared" si="1"/>
        <v>142.1</v>
      </c>
      <c r="T15"/>
      <c r="U15"/>
      <c r="V15"/>
      <c r="W15"/>
      <c r="X15"/>
      <c r="Y15"/>
      <c r="Z15"/>
      <c r="AA15"/>
      <c r="AB15"/>
      <c r="AC15"/>
      <c r="AD15"/>
      <c r="AE15"/>
      <c r="AF15"/>
      <c r="AG15"/>
      <c r="AH15"/>
      <c r="AI15"/>
      <c r="AJ15"/>
      <c r="AK15"/>
      <c r="AL15"/>
      <c r="AM15"/>
      <c r="AN15"/>
      <c r="AO15"/>
      <c r="AP15"/>
      <c r="AQ15"/>
      <c r="AR15"/>
      <c r="AS15"/>
      <c r="AT15"/>
      <c r="AU15"/>
      <c r="AV15"/>
      <c r="AW15"/>
    </row>
    <row r="16" spans="1:49" s="109" customFormat="1" ht="20.25" customHeight="1">
      <c r="A16" s="10" t="s">
        <v>24</v>
      </c>
      <c r="B16" s="1053">
        <v>5</v>
      </c>
      <c r="C16" s="1054">
        <v>420.8</v>
      </c>
      <c r="D16" s="1053"/>
      <c r="E16" s="1054"/>
      <c r="F16" s="1053"/>
      <c r="G16" s="1054"/>
      <c r="H16" s="1053">
        <v>2</v>
      </c>
      <c r="I16" s="1054">
        <v>256</v>
      </c>
      <c r="J16" s="1053"/>
      <c r="K16" s="1054"/>
      <c r="L16" s="1053">
        <v>2</v>
      </c>
      <c r="M16" s="1054">
        <v>281.2</v>
      </c>
      <c r="N16" s="1053"/>
      <c r="O16" s="1054"/>
      <c r="P16" s="1053"/>
      <c r="Q16" s="1054"/>
      <c r="R16" s="151">
        <f t="shared" si="0"/>
        <v>9</v>
      </c>
      <c r="S16" s="600">
        <f t="shared" si="1"/>
        <v>958</v>
      </c>
      <c r="T16"/>
      <c r="U16"/>
      <c r="V16"/>
      <c r="W16"/>
      <c r="X16"/>
      <c r="Y16"/>
      <c r="Z16"/>
      <c r="AA16"/>
      <c r="AB16"/>
      <c r="AC16"/>
      <c r="AD16"/>
      <c r="AE16"/>
      <c r="AF16"/>
      <c r="AG16"/>
      <c r="AH16"/>
      <c r="AI16"/>
      <c r="AJ16"/>
      <c r="AK16"/>
      <c r="AL16"/>
      <c r="AM16"/>
      <c r="AN16"/>
      <c r="AO16"/>
      <c r="AP16"/>
      <c r="AQ16"/>
      <c r="AR16"/>
      <c r="AS16"/>
      <c r="AT16"/>
      <c r="AU16"/>
      <c r="AV16"/>
      <c r="AW16"/>
    </row>
    <row r="17" spans="1:49" s="109" customFormat="1" ht="20.25" customHeight="1">
      <c r="A17" s="10" t="s">
        <v>27</v>
      </c>
      <c r="B17" s="1055">
        <v>2</v>
      </c>
      <c r="C17" s="1052">
        <v>253.1</v>
      </c>
      <c r="D17" s="1055"/>
      <c r="E17" s="1052"/>
      <c r="F17" s="1055"/>
      <c r="G17" s="1052"/>
      <c r="H17" s="1055"/>
      <c r="I17" s="1052"/>
      <c r="J17" s="1055"/>
      <c r="K17" s="1052"/>
      <c r="L17" s="1055"/>
      <c r="M17" s="1052"/>
      <c r="N17" s="1055"/>
      <c r="O17" s="1052"/>
      <c r="P17" s="1055"/>
      <c r="Q17" s="1052"/>
      <c r="R17" s="151">
        <f t="shared" si="0"/>
        <v>2</v>
      </c>
      <c r="S17" s="600">
        <f t="shared" si="1"/>
        <v>253.1</v>
      </c>
      <c r="T17"/>
      <c r="U17"/>
      <c r="V17"/>
      <c r="W17"/>
      <c r="X17"/>
      <c r="Y17"/>
      <c r="Z17"/>
      <c r="AA17"/>
      <c r="AB17"/>
      <c r="AC17"/>
      <c r="AD17"/>
      <c r="AE17"/>
      <c r="AF17"/>
      <c r="AG17"/>
      <c r="AH17"/>
      <c r="AI17"/>
      <c r="AJ17"/>
      <c r="AK17"/>
      <c r="AL17"/>
      <c r="AM17"/>
      <c r="AN17"/>
      <c r="AO17"/>
      <c r="AP17"/>
      <c r="AQ17"/>
      <c r="AR17"/>
      <c r="AS17"/>
      <c r="AT17"/>
      <c r="AU17"/>
      <c r="AV17"/>
      <c r="AW17"/>
    </row>
    <row r="18" spans="1:49" s="599" customFormat="1" ht="20.25" customHeight="1">
      <c r="A18" s="10" t="s">
        <v>28</v>
      </c>
      <c r="B18" s="1053">
        <v>2</v>
      </c>
      <c r="C18" s="1054">
        <v>183.6</v>
      </c>
      <c r="D18" s="1053"/>
      <c r="E18" s="1054"/>
      <c r="F18" s="1053"/>
      <c r="G18" s="1054"/>
      <c r="H18" s="1053"/>
      <c r="I18" s="1054"/>
      <c r="J18" s="1053"/>
      <c r="K18" s="1054"/>
      <c r="L18" s="1053"/>
      <c r="M18" s="1054"/>
      <c r="N18" s="1053"/>
      <c r="O18" s="1054"/>
      <c r="P18" s="1053"/>
      <c r="Q18" s="1054"/>
      <c r="R18" s="151">
        <f t="shared" si="0"/>
        <v>2</v>
      </c>
      <c r="S18" s="600">
        <f t="shared" si="1"/>
        <v>183.6</v>
      </c>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row>
    <row r="19" spans="1:49" s="599" customFormat="1" ht="20.25" customHeight="1">
      <c r="A19" s="10" t="s">
        <v>29</v>
      </c>
      <c r="B19" s="1053">
        <v>1</v>
      </c>
      <c r="C19" s="1054">
        <v>96.2</v>
      </c>
      <c r="D19" s="1053"/>
      <c r="E19" s="1054"/>
      <c r="F19" s="1053"/>
      <c r="G19" s="1054"/>
      <c r="H19" s="1053"/>
      <c r="I19" s="1054"/>
      <c r="J19" s="1053"/>
      <c r="K19" s="1054"/>
      <c r="L19" s="1053">
        <v>1</v>
      </c>
      <c r="M19" s="1054">
        <v>160.5</v>
      </c>
      <c r="N19" s="1053"/>
      <c r="O19" s="1054"/>
      <c r="P19" s="1053"/>
      <c r="Q19" s="1054"/>
      <c r="R19" s="151">
        <f t="shared" si="0"/>
        <v>2</v>
      </c>
      <c r="S19" s="600">
        <f t="shared" si="1"/>
        <v>256.7</v>
      </c>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row>
    <row r="20" spans="1:49" s="109" customFormat="1" ht="23.25" customHeight="1">
      <c r="A20" s="10" t="s">
        <v>220</v>
      </c>
      <c r="B20" s="1053"/>
      <c r="C20" s="1054"/>
      <c r="D20" s="1053"/>
      <c r="E20" s="1054"/>
      <c r="F20" s="1053"/>
      <c r="G20" s="1054"/>
      <c r="H20" s="1053"/>
      <c r="I20" s="1054"/>
      <c r="J20" s="1053"/>
      <c r="K20" s="1054"/>
      <c r="L20" s="1053">
        <v>1</v>
      </c>
      <c r="M20" s="1054">
        <v>159.2</v>
      </c>
      <c r="N20" s="1053"/>
      <c r="O20" s="1054"/>
      <c r="P20" s="1053"/>
      <c r="Q20" s="1054"/>
      <c r="R20" s="151">
        <f t="shared" si="0"/>
        <v>1</v>
      </c>
      <c r="S20" s="600">
        <f t="shared" si="1"/>
        <v>159.2</v>
      </c>
      <c r="T20"/>
      <c r="U20"/>
      <c r="V20"/>
      <c r="W20"/>
      <c r="X20"/>
      <c r="Y20"/>
      <c r="Z20"/>
      <c r="AA20"/>
      <c r="AB20"/>
      <c r="AC20"/>
      <c r="AD20"/>
      <c r="AE20"/>
      <c r="AF20"/>
      <c r="AG20"/>
      <c r="AH20"/>
      <c r="AI20"/>
      <c r="AJ20"/>
      <c r="AK20"/>
      <c r="AL20"/>
      <c r="AM20"/>
      <c r="AN20"/>
      <c r="AO20"/>
      <c r="AP20"/>
      <c r="AQ20"/>
      <c r="AR20"/>
      <c r="AS20"/>
      <c r="AT20"/>
      <c r="AU20"/>
      <c r="AV20"/>
      <c r="AW20"/>
    </row>
    <row r="21" spans="1:49" s="109" customFormat="1" ht="20.25" customHeight="1">
      <c r="A21" s="10" t="s">
        <v>30</v>
      </c>
      <c r="B21" s="1053"/>
      <c r="C21" s="1054"/>
      <c r="D21" s="1053"/>
      <c r="E21" s="1054"/>
      <c r="F21" s="1053"/>
      <c r="G21" s="1054"/>
      <c r="H21" s="1053"/>
      <c r="I21" s="1054"/>
      <c r="J21" s="1053"/>
      <c r="K21" s="1054"/>
      <c r="L21" s="1053">
        <v>1</v>
      </c>
      <c r="M21" s="1054">
        <v>121</v>
      </c>
      <c r="N21" s="1053"/>
      <c r="O21" s="1054"/>
      <c r="P21" s="1053"/>
      <c r="Q21" s="1054"/>
      <c r="R21" s="151">
        <f t="shared" si="0"/>
        <v>1</v>
      </c>
      <c r="S21" s="600">
        <f t="shared" si="1"/>
        <v>121</v>
      </c>
      <c r="T21"/>
      <c r="U21"/>
      <c r="V21"/>
      <c r="W21"/>
      <c r="X21"/>
      <c r="Y21"/>
      <c r="Z21"/>
      <c r="AA21"/>
      <c r="AB21"/>
      <c r="AC21"/>
      <c r="AD21"/>
      <c r="AE21"/>
      <c r="AF21"/>
      <c r="AG21"/>
      <c r="AH21"/>
      <c r="AI21"/>
      <c r="AJ21"/>
      <c r="AK21"/>
      <c r="AL21"/>
      <c r="AM21"/>
      <c r="AN21"/>
      <c r="AO21"/>
      <c r="AP21"/>
      <c r="AQ21"/>
      <c r="AR21"/>
      <c r="AS21"/>
      <c r="AT21"/>
      <c r="AU21"/>
      <c r="AV21"/>
      <c r="AW21"/>
    </row>
    <row r="22" spans="1:49" s="109" customFormat="1" ht="20.25" customHeight="1">
      <c r="A22" s="10" t="s">
        <v>201</v>
      </c>
      <c r="B22" s="1053">
        <v>2</v>
      </c>
      <c r="C22" s="1054">
        <v>259.5</v>
      </c>
      <c r="D22" s="1053"/>
      <c r="E22" s="1054"/>
      <c r="F22" s="1053"/>
      <c r="G22" s="1054"/>
      <c r="H22" s="1053"/>
      <c r="I22" s="1054"/>
      <c r="J22" s="1053"/>
      <c r="K22" s="1054"/>
      <c r="L22" s="1053">
        <v>2</v>
      </c>
      <c r="M22" s="1054">
        <v>337.3</v>
      </c>
      <c r="N22" s="1053"/>
      <c r="O22" s="1054"/>
      <c r="P22" s="1053"/>
      <c r="Q22" s="1054"/>
      <c r="R22" s="151">
        <f t="shared" si="0"/>
        <v>4</v>
      </c>
      <c r="S22" s="600">
        <f t="shared" si="1"/>
        <v>596.8</v>
      </c>
      <c r="T22"/>
      <c r="U22"/>
      <c r="V22"/>
      <c r="W22"/>
      <c r="X22"/>
      <c r="Y22"/>
      <c r="Z22"/>
      <c r="AA22"/>
      <c r="AB22"/>
      <c r="AC22"/>
      <c r="AD22"/>
      <c r="AE22"/>
      <c r="AF22"/>
      <c r="AG22"/>
      <c r="AH22"/>
      <c r="AI22"/>
      <c r="AJ22"/>
      <c r="AK22"/>
      <c r="AL22"/>
      <c r="AM22"/>
      <c r="AN22"/>
      <c r="AO22"/>
      <c r="AP22"/>
      <c r="AQ22"/>
      <c r="AR22"/>
      <c r="AS22"/>
      <c r="AT22"/>
      <c r="AU22"/>
      <c r="AV22"/>
      <c r="AW22"/>
    </row>
    <row r="23" spans="1:49" s="109" customFormat="1" ht="20.25" customHeight="1">
      <c r="A23" s="10" t="s">
        <v>31</v>
      </c>
      <c r="B23" s="1053">
        <v>3</v>
      </c>
      <c r="C23" s="1054">
        <v>236.7</v>
      </c>
      <c r="D23" s="1053"/>
      <c r="E23" s="1054"/>
      <c r="F23" s="1053"/>
      <c r="G23" s="1054"/>
      <c r="H23" s="1053">
        <v>3</v>
      </c>
      <c r="I23" s="1054">
        <v>197.6</v>
      </c>
      <c r="J23" s="1053"/>
      <c r="K23" s="1054"/>
      <c r="L23" s="1053">
        <v>1</v>
      </c>
      <c r="M23" s="1054">
        <v>111.1</v>
      </c>
      <c r="N23" s="1053"/>
      <c r="O23" s="1054"/>
      <c r="P23" s="1053"/>
      <c r="Q23" s="1054"/>
      <c r="R23" s="151">
        <f t="shared" si="0"/>
        <v>7</v>
      </c>
      <c r="S23" s="600">
        <f t="shared" si="1"/>
        <v>545.4</v>
      </c>
      <c r="T23"/>
      <c r="U23"/>
      <c r="V23"/>
      <c r="W23"/>
      <c r="X23"/>
      <c r="Y23"/>
      <c r="Z23"/>
      <c r="AA23"/>
      <c r="AB23"/>
      <c r="AC23"/>
      <c r="AD23"/>
      <c r="AE23"/>
      <c r="AF23"/>
      <c r="AG23"/>
      <c r="AH23"/>
      <c r="AI23"/>
      <c r="AJ23"/>
      <c r="AK23"/>
      <c r="AL23"/>
      <c r="AM23"/>
      <c r="AN23"/>
      <c r="AO23"/>
      <c r="AP23"/>
      <c r="AQ23"/>
      <c r="AR23"/>
      <c r="AS23"/>
      <c r="AT23"/>
      <c r="AU23"/>
      <c r="AV23"/>
      <c r="AW23"/>
    </row>
    <row r="24" spans="1:49" s="109" customFormat="1" ht="20.25" customHeight="1">
      <c r="A24" s="16" t="s">
        <v>411</v>
      </c>
      <c r="B24" s="1069"/>
      <c r="C24" s="1070"/>
      <c r="D24" s="1069"/>
      <c r="E24" s="1070"/>
      <c r="F24" s="1069"/>
      <c r="G24" s="1070"/>
      <c r="H24" s="1069"/>
      <c r="I24" s="1070"/>
      <c r="J24" s="1069"/>
      <c r="K24" s="1070"/>
      <c r="L24" s="1069"/>
      <c r="M24" s="1070"/>
      <c r="N24" s="1069"/>
      <c r="O24" s="1070"/>
      <c r="P24" s="1069"/>
      <c r="Q24" s="1070"/>
      <c r="R24" s="275">
        <f t="shared" si="0"/>
        <v>0</v>
      </c>
      <c r="S24" s="601">
        <f t="shared" si="1"/>
        <v>0</v>
      </c>
      <c r="T24"/>
      <c r="U24"/>
      <c r="V24"/>
      <c r="W24"/>
      <c r="X24"/>
      <c r="Y24"/>
      <c r="Z24"/>
      <c r="AA24"/>
      <c r="AB24"/>
      <c r="AC24"/>
      <c r="AD24"/>
      <c r="AE24"/>
      <c r="AF24"/>
      <c r="AG24"/>
      <c r="AH24"/>
      <c r="AI24"/>
      <c r="AJ24"/>
      <c r="AK24"/>
      <c r="AL24"/>
      <c r="AM24"/>
      <c r="AN24"/>
      <c r="AO24"/>
      <c r="AP24"/>
      <c r="AQ24"/>
      <c r="AR24"/>
      <c r="AS24"/>
      <c r="AT24"/>
      <c r="AU24"/>
      <c r="AV24"/>
      <c r="AW24"/>
    </row>
    <row r="25" spans="1:49" s="109" customFormat="1" ht="20.25" customHeight="1">
      <c r="A25" s="1060" t="s">
        <v>32</v>
      </c>
      <c r="B25" s="1053"/>
      <c r="C25" s="1054"/>
      <c r="D25" s="1053"/>
      <c r="E25" s="1054"/>
      <c r="F25" s="1053"/>
      <c r="G25" s="1054"/>
      <c r="H25" s="1053"/>
      <c r="I25" s="1054"/>
      <c r="J25" s="1053"/>
      <c r="K25" s="1054"/>
      <c r="L25" s="1053"/>
      <c r="M25" s="1054"/>
      <c r="N25" s="1053"/>
      <c r="O25" s="1054"/>
      <c r="P25" s="1053"/>
      <c r="Q25" s="1054"/>
      <c r="R25" s="151"/>
      <c r="S25" s="600"/>
      <c r="T25"/>
      <c r="U25"/>
      <c r="V25"/>
      <c r="W25"/>
      <c r="X25"/>
      <c r="Y25"/>
      <c r="Z25"/>
      <c r="AA25"/>
      <c r="AB25"/>
      <c r="AC25"/>
      <c r="AD25"/>
      <c r="AE25"/>
      <c r="AF25"/>
      <c r="AG25"/>
      <c r="AH25"/>
      <c r="AI25"/>
      <c r="AJ25"/>
      <c r="AK25"/>
      <c r="AL25"/>
      <c r="AM25"/>
      <c r="AN25"/>
      <c r="AO25"/>
      <c r="AP25"/>
      <c r="AQ25"/>
      <c r="AR25"/>
      <c r="AS25"/>
      <c r="AT25"/>
      <c r="AU25"/>
      <c r="AV25"/>
      <c r="AW25"/>
    </row>
    <row r="26" spans="1:49" s="109" customFormat="1" ht="20.25" customHeight="1">
      <c r="A26" s="10" t="s">
        <v>167</v>
      </c>
      <c r="B26" s="1053"/>
      <c r="C26" s="1054"/>
      <c r="D26" s="1053"/>
      <c r="E26" s="1054"/>
      <c r="F26" s="1053"/>
      <c r="G26" s="1054"/>
      <c r="H26" s="1053"/>
      <c r="I26" s="1054"/>
      <c r="J26" s="1053"/>
      <c r="K26" s="1054"/>
      <c r="L26" s="1053">
        <v>4</v>
      </c>
      <c r="M26" s="1054">
        <v>967.8</v>
      </c>
      <c r="N26" s="1053"/>
      <c r="O26" s="1054"/>
      <c r="P26" s="1053"/>
      <c r="Q26" s="1054"/>
      <c r="R26" s="151">
        <f t="shared" si="0"/>
        <v>4</v>
      </c>
      <c r="S26" s="600">
        <f t="shared" si="1"/>
        <v>967.8</v>
      </c>
      <c r="T26"/>
      <c r="U26"/>
      <c r="V26"/>
      <c r="W26"/>
      <c r="X26"/>
      <c r="Y26"/>
      <c r="Z26"/>
      <c r="AA26"/>
      <c r="AB26"/>
      <c r="AC26"/>
      <c r="AD26"/>
      <c r="AE26"/>
      <c r="AF26"/>
      <c r="AG26"/>
      <c r="AH26"/>
      <c r="AI26"/>
      <c r="AJ26"/>
      <c r="AK26"/>
      <c r="AL26"/>
      <c r="AM26"/>
      <c r="AN26"/>
      <c r="AO26"/>
      <c r="AP26"/>
      <c r="AQ26"/>
      <c r="AR26"/>
      <c r="AS26"/>
      <c r="AT26"/>
      <c r="AU26"/>
      <c r="AV26"/>
      <c r="AW26"/>
    </row>
    <row r="27" spans="1:49" s="109" customFormat="1" ht="20.25" customHeight="1">
      <c r="A27" s="10" t="s">
        <v>135</v>
      </c>
      <c r="B27" s="1053"/>
      <c r="C27" s="1054"/>
      <c r="D27" s="1053"/>
      <c r="E27" s="1054"/>
      <c r="F27" s="1053"/>
      <c r="G27" s="1054"/>
      <c r="H27" s="1053"/>
      <c r="I27" s="1054"/>
      <c r="J27" s="1053"/>
      <c r="K27" s="1054"/>
      <c r="L27" s="1056">
        <v>3</v>
      </c>
      <c r="M27" s="1058">
        <v>689.8</v>
      </c>
      <c r="N27" s="1056"/>
      <c r="O27" s="1056"/>
      <c r="P27" s="1056">
        <v>2</v>
      </c>
      <c r="Q27" s="1056">
        <v>491.4</v>
      </c>
      <c r="R27" s="151">
        <f t="shared" si="0"/>
        <v>5</v>
      </c>
      <c r="S27" s="600">
        <f t="shared" si="1"/>
        <v>1181.1999999999998</v>
      </c>
      <c r="T27"/>
      <c r="U27"/>
      <c r="V27"/>
      <c r="W27"/>
      <c r="X27"/>
      <c r="Y27"/>
      <c r="Z27"/>
      <c r="AA27"/>
      <c r="AB27"/>
      <c r="AC27"/>
      <c r="AD27"/>
      <c r="AE27"/>
      <c r="AF27"/>
      <c r="AG27"/>
      <c r="AH27"/>
      <c r="AI27"/>
      <c r="AJ27"/>
      <c r="AK27"/>
      <c r="AL27"/>
      <c r="AM27"/>
      <c r="AN27"/>
      <c r="AO27"/>
      <c r="AP27"/>
      <c r="AQ27"/>
      <c r="AR27"/>
      <c r="AS27"/>
      <c r="AT27"/>
      <c r="AU27"/>
      <c r="AV27"/>
      <c r="AW27"/>
    </row>
    <row r="28" spans="1:49" s="109" customFormat="1" ht="20.25" customHeight="1">
      <c r="A28" s="10" t="s">
        <v>526</v>
      </c>
      <c r="B28" s="1053">
        <v>1</v>
      </c>
      <c r="C28" s="1054">
        <v>200.6</v>
      </c>
      <c r="D28" s="1053"/>
      <c r="E28" s="1054"/>
      <c r="F28" s="1053"/>
      <c r="G28" s="1054"/>
      <c r="H28" s="1053"/>
      <c r="I28" s="1054"/>
      <c r="J28" s="1053"/>
      <c r="K28" s="1054"/>
      <c r="L28" s="1053"/>
      <c r="M28" s="1054"/>
      <c r="N28" s="1053"/>
      <c r="O28" s="1054"/>
      <c r="P28" s="1053"/>
      <c r="Q28" s="1054"/>
      <c r="R28" s="151">
        <f>SUM(B28,J28,N28,D28,F28,H28,L28,P28)</f>
        <v>1</v>
      </c>
      <c r="S28" s="600">
        <f>SUM(C28,K28,O28,E28,G28,I28,M28,Q28)</f>
        <v>200.6</v>
      </c>
      <c r="T28"/>
      <c r="U28"/>
      <c r="V28"/>
      <c r="W28"/>
      <c r="X28"/>
      <c r="Y28"/>
      <c r="Z28"/>
      <c r="AA28"/>
      <c r="AB28"/>
      <c r="AC28"/>
      <c r="AD28"/>
      <c r="AE28"/>
      <c r="AF28"/>
      <c r="AG28"/>
      <c r="AH28"/>
      <c r="AI28"/>
      <c r="AJ28"/>
      <c r="AK28"/>
      <c r="AL28"/>
      <c r="AM28"/>
      <c r="AN28"/>
      <c r="AO28"/>
      <c r="AP28"/>
      <c r="AQ28"/>
      <c r="AR28"/>
      <c r="AS28"/>
      <c r="AT28"/>
      <c r="AU28"/>
      <c r="AV28"/>
      <c r="AW28"/>
    </row>
    <row r="29" spans="1:49" s="109" customFormat="1" ht="20.25" customHeight="1">
      <c r="A29" s="10" t="s">
        <v>414</v>
      </c>
      <c r="B29" s="1053">
        <v>1</v>
      </c>
      <c r="C29" s="1054">
        <v>167.9</v>
      </c>
      <c r="D29" s="1053"/>
      <c r="E29" s="1054"/>
      <c r="F29" s="1053"/>
      <c r="G29" s="1054"/>
      <c r="H29" s="1053"/>
      <c r="I29" s="1054"/>
      <c r="J29" s="1053"/>
      <c r="K29" s="1054"/>
      <c r="L29" s="1053"/>
      <c r="M29" s="1054"/>
      <c r="N29" s="1053"/>
      <c r="O29" s="1054"/>
      <c r="P29" s="1053"/>
      <c r="Q29" s="1054"/>
      <c r="R29" s="151">
        <f>SUM(B29,J29,N29,D29,F29,H29,L29,P29)</f>
        <v>1</v>
      </c>
      <c r="S29" s="600">
        <f>SUM(C29,K29,O29,E29,G29,I29,M29,Q29)</f>
        <v>167.9</v>
      </c>
      <c r="T29"/>
      <c r="U29"/>
      <c r="V29"/>
      <c r="W29"/>
      <c r="X29"/>
      <c r="Y29"/>
      <c r="Z29"/>
      <c r="AA29"/>
      <c r="AB29"/>
      <c r="AC29"/>
      <c r="AD29"/>
      <c r="AE29"/>
      <c r="AF29"/>
      <c r="AG29"/>
      <c r="AH29"/>
      <c r="AI29"/>
      <c r="AJ29"/>
      <c r="AK29"/>
      <c r="AL29"/>
      <c r="AM29"/>
      <c r="AN29"/>
      <c r="AO29"/>
      <c r="AP29"/>
      <c r="AQ29"/>
      <c r="AR29"/>
      <c r="AS29"/>
      <c r="AT29"/>
      <c r="AU29"/>
      <c r="AV29"/>
      <c r="AW29"/>
    </row>
    <row r="30" spans="1:49" s="109" customFormat="1" ht="20.25" customHeight="1">
      <c r="A30" s="10" t="s">
        <v>214</v>
      </c>
      <c r="B30" s="1053">
        <v>1</v>
      </c>
      <c r="C30" s="1054">
        <v>161.5</v>
      </c>
      <c r="D30" s="1053"/>
      <c r="E30" s="1054"/>
      <c r="F30" s="1053"/>
      <c r="G30" s="1054"/>
      <c r="H30" s="1053"/>
      <c r="I30" s="1054"/>
      <c r="J30" s="1053"/>
      <c r="K30" s="1054"/>
      <c r="L30" s="1053"/>
      <c r="M30" s="1054"/>
      <c r="N30" s="1053"/>
      <c r="O30" s="1054"/>
      <c r="P30" s="1053"/>
      <c r="Q30" s="1054"/>
      <c r="R30" s="151">
        <f t="shared" si="0"/>
        <v>1</v>
      </c>
      <c r="S30" s="600">
        <f t="shared" si="1"/>
        <v>161.5</v>
      </c>
      <c r="T30"/>
      <c r="U30"/>
      <c r="V30"/>
      <c r="W30"/>
      <c r="X30"/>
      <c r="Y30"/>
      <c r="Z30"/>
      <c r="AA30"/>
      <c r="AB30"/>
      <c r="AC30"/>
      <c r="AD30"/>
      <c r="AE30"/>
      <c r="AF30"/>
      <c r="AG30"/>
      <c r="AH30"/>
      <c r="AI30"/>
      <c r="AJ30"/>
      <c r="AK30"/>
      <c r="AL30"/>
      <c r="AM30"/>
      <c r="AN30"/>
      <c r="AO30"/>
      <c r="AP30"/>
      <c r="AQ30"/>
      <c r="AR30"/>
      <c r="AS30"/>
      <c r="AT30"/>
      <c r="AU30"/>
      <c r="AV30"/>
      <c r="AW30"/>
    </row>
    <row r="31" spans="1:49" s="109" customFormat="1" ht="20.25" customHeight="1">
      <c r="A31" s="10" t="s">
        <v>351</v>
      </c>
      <c r="B31" s="1053">
        <v>2</v>
      </c>
      <c r="C31" s="1054">
        <v>419</v>
      </c>
      <c r="D31" s="1053"/>
      <c r="E31" s="1054"/>
      <c r="F31" s="1053"/>
      <c r="G31" s="1054"/>
      <c r="H31" s="1053"/>
      <c r="I31" s="1054"/>
      <c r="J31" s="1053"/>
      <c r="K31" s="1054"/>
      <c r="L31" s="1053">
        <v>2</v>
      </c>
      <c r="M31" s="1054">
        <v>444</v>
      </c>
      <c r="N31" s="1053"/>
      <c r="O31" s="1054"/>
      <c r="P31" s="1053"/>
      <c r="Q31" s="1054"/>
      <c r="R31" s="151">
        <f t="shared" si="0"/>
        <v>4</v>
      </c>
      <c r="S31" s="600">
        <f t="shared" si="1"/>
        <v>863</v>
      </c>
      <c r="T31"/>
      <c r="U31"/>
      <c r="V31"/>
      <c r="W31"/>
      <c r="X31"/>
      <c r="Y31"/>
      <c r="Z31"/>
      <c r="AA31"/>
      <c r="AB31"/>
      <c r="AC31"/>
      <c r="AD31"/>
      <c r="AE31"/>
      <c r="AF31"/>
      <c r="AG31"/>
      <c r="AH31"/>
      <c r="AI31"/>
      <c r="AJ31"/>
      <c r="AK31"/>
      <c r="AL31"/>
      <c r="AM31"/>
      <c r="AN31"/>
      <c r="AO31"/>
      <c r="AP31"/>
      <c r="AQ31"/>
      <c r="AR31"/>
      <c r="AS31"/>
      <c r="AT31"/>
      <c r="AU31"/>
      <c r="AV31"/>
      <c r="AW31"/>
    </row>
    <row r="32" spans="1:49" s="109" customFormat="1" ht="20.25" customHeight="1">
      <c r="A32" s="16" t="s">
        <v>341</v>
      </c>
      <c r="B32" s="1069">
        <v>6</v>
      </c>
      <c r="C32" s="1070">
        <v>1254.6</v>
      </c>
      <c r="D32" s="1069"/>
      <c r="E32" s="1070"/>
      <c r="F32" s="1069"/>
      <c r="G32" s="1070"/>
      <c r="H32" s="1069">
        <v>3</v>
      </c>
      <c r="I32" s="1070">
        <v>561.3</v>
      </c>
      <c r="J32" s="1069"/>
      <c r="K32" s="1070"/>
      <c r="L32" s="1069"/>
      <c r="M32" s="1070"/>
      <c r="N32" s="1069"/>
      <c r="O32" s="1070"/>
      <c r="P32" s="1069"/>
      <c r="Q32" s="1070"/>
      <c r="R32" s="275">
        <f t="shared" si="0"/>
        <v>9</v>
      </c>
      <c r="S32" s="601">
        <f t="shared" si="1"/>
        <v>1815.8999999999999</v>
      </c>
      <c r="T32"/>
      <c r="U32"/>
      <c r="V32"/>
      <c r="W32"/>
      <c r="X32"/>
      <c r="Y32"/>
      <c r="Z32"/>
      <c r="AA32"/>
      <c r="AB32"/>
      <c r="AC32"/>
      <c r="AD32"/>
      <c r="AE32"/>
      <c r="AF32"/>
      <c r="AG32"/>
      <c r="AH32"/>
      <c r="AI32"/>
      <c r="AJ32"/>
      <c r="AK32"/>
      <c r="AL32"/>
      <c r="AM32"/>
      <c r="AN32"/>
      <c r="AO32"/>
      <c r="AP32"/>
      <c r="AQ32"/>
      <c r="AR32"/>
      <c r="AS32"/>
      <c r="AT32"/>
      <c r="AU32"/>
      <c r="AV32"/>
      <c r="AW32"/>
    </row>
    <row r="33" spans="1:49" s="109" customFormat="1" ht="20.25" customHeight="1">
      <c r="A33" s="1060" t="s">
        <v>62</v>
      </c>
      <c r="B33" s="1053"/>
      <c r="C33" s="1054"/>
      <c r="D33" s="1053"/>
      <c r="E33" s="1054"/>
      <c r="F33" s="1053"/>
      <c r="G33" s="1054"/>
      <c r="H33" s="1053"/>
      <c r="I33" s="1054"/>
      <c r="J33" s="1053"/>
      <c r="K33" s="1054"/>
      <c r="L33" s="1053"/>
      <c r="M33" s="1054"/>
      <c r="N33" s="1053"/>
      <c r="O33" s="1054"/>
      <c r="P33" s="1053"/>
      <c r="Q33" s="1054"/>
      <c r="R33" s="151"/>
      <c r="S33" s="600"/>
      <c r="T33"/>
      <c r="U33"/>
      <c r="V33"/>
      <c r="W33"/>
      <c r="X33"/>
      <c r="Y33"/>
      <c r="Z33"/>
      <c r="AA33"/>
      <c r="AB33"/>
      <c r="AC33"/>
      <c r="AD33"/>
      <c r="AE33"/>
      <c r="AF33"/>
      <c r="AG33"/>
      <c r="AH33"/>
      <c r="AI33"/>
      <c r="AJ33"/>
      <c r="AK33"/>
      <c r="AL33"/>
      <c r="AM33"/>
      <c r="AN33"/>
      <c r="AO33"/>
      <c r="AP33"/>
      <c r="AQ33"/>
      <c r="AR33"/>
      <c r="AS33"/>
      <c r="AT33"/>
      <c r="AU33"/>
      <c r="AV33"/>
      <c r="AW33"/>
    </row>
    <row r="34" spans="1:49" s="109" customFormat="1" ht="20.25" customHeight="1">
      <c r="A34" s="890" t="s">
        <v>417</v>
      </c>
      <c r="B34" s="1053">
        <v>1</v>
      </c>
      <c r="C34" s="1054">
        <v>218.4</v>
      </c>
      <c r="D34" s="1053"/>
      <c r="E34" s="1054"/>
      <c r="F34" s="1053"/>
      <c r="G34" s="1054"/>
      <c r="H34" s="1053"/>
      <c r="I34" s="1054"/>
      <c r="J34" s="1053"/>
      <c r="K34" s="1054"/>
      <c r="L34" s="1053"/>
      <c r="M34" s="1054"/>
      <c r="N34" s="1053"/>
      <c r="O34" s="1054"/>
      <c r="P34" s="1053"/>
      <c r="Q34" s="1054"/>
      <c r="R34" s="151">
        <f t="shared" si="0"/>
        <v>1</v>
      </c>
      <c r="S34" s="600">
        <f t="shared" si="1"/>
        <v>218.4</v>
      </c>
      <c r="T34"/>
      <c r="U34"/>
      <c r="V34"/>
      <c r="W34"/>
      <c r="X34"/>
      <c r="Y34"/>
      <c r="Z34"/>
      <c r="AA34"/>
      <c r="AB34"/>
      <c r="AC34"/>
      <c r="AD34"/>
      <c r="AE34"/>
      <c r="AF34"/>
      <c r="AG34"/>
      <c r="AH34"/>
      <c r="AI34"/>
      <c r="AJ34"/>
      <c r="AK34"/>
      <c r="AL34"/>
      <c r="AM34"/>
      <c r="AN34"/>
      <c r="AO34"/>
      <c r="AP34"/>
      <c r="AQ34"/>
      <c r="AR34"/>
      <c r="AS34"/>
      <c r="AT34"/>
      <c r="AU34"/>
      <c r="AV34"/>
      <c r="AW34"/>
    </row>
    <row r="35" spans="1:49" s="109" customFormat="1" ht="20.25" customHeight="1">
      <c r="A35" s="890" t="s">
        <v>144</v>
      </c>
      <c r="B35" s="1053">
        <v>4</v>
      </c>
      <c r="C35" s="1054">
        <v>717.7</v>
      </c>
      <c r="D35" s="1053"/>
      <c r="E35" s="1054"/>
      <c r="F35" s="1053"/>
      <c r="G35" s="1054"/>
      <c r="H35" s="1053"/>
      <c r="I35" s="1054"/>
      <c r="J35" s="1053"/>
      <c r="K35" s="1054"/>
      <c r="L35" s="1053"/>
      <c r="M35" s="1054"/>
      <c r="N35" s="1053"/>
      <c r="O35" s="1054"/>
      <c r="P35" s="1053"/>
      <c r="Q35" s="1054"/>
      <c r="R35" s="151">
        <f t="shared" si="0"/>
        <v>4</v>
      </c>
      <c r="S35" s="600">
        <f t="shared" si="1"/>
        <v>717.7</v>
      </c>
      <c r="T35"/>
      <c r="U35"/>
      <c r="V35"/>
      <c r="W35"/>
      <c r="X35"/>
      <c r="Y35"/>
      <c r="Z35"/>
      <c r="AA35"/>
      <c r="AB35"/>
      <c r="AC35"/>
      <c r="AD35"/>
      <c r="AE35"/>
      <c r="AF35"/>
      <c r="AG35"/>
      <c r="AH35"/>
      <c r="AI35"/>
      <c r="AJ35"/>
      <c r="AK35"/>
      <c r="AL35"/>
      <c r="AM35"/>
      <c r="AN35"/>
      <c r="AO35"/>
      <c r="AP35"/>
      <c r="AQ35"/>
      <c r="AR35"/>
      <c r="AS35"/>
      <c r="AT35"/>
      <c r="AU35"/>
      <c r="AV35"/>
      <c r="AW35"/>
    </row>
    <row r="36" spans="1:19" s="54" customFormat="1" ht="23.25" customHeight="1">
      <c r="A36" s="890" t="s">
        <v>354</v>
      </c>
      <c r="B36" s="1056">
        <v>1</v>
      </c>
      <c r="C36" s="1057">
        <v>181.4</v>
      </c>
      <c r="D36" s="1056"/>
      <c r="E36" s="1057"/>
      <c r="F36" s="1056"/>
      <c r="G36" s="1057"/>
      <c r="H36" s="1056"/>
      <c r="I36" s="1057"/>
      <c r="J36" s="1056"/>
      <c r="K36" s="1057"/>
      <c r="L36" s="1056"/>
      <c r="M36" s="1057"/>
      <c r="N36" s="1056"/>
      <c r="O36" s="1057"/>
      <c r="P36" s="1056"/>
      <c r="Q36" s="1057"/>
      <c r="R36" s="151">
        <f t="shared" si="0"/>
        <v>1</v>
      </c>
      <c r="S36" s="600">
        <f t="shared" si="1"/>
        <v>181.4</v>
      </c>
    </row>
    <row r="37" spans="1:19" s="54" customFormat="1" ht="23.25" customHeight="1">
      <c r="A37" s="890" t="s">
        <v>35</v>
      </c>
      <c r="B37" s="1056">
        <v>10</v>
      </c>
      <c r="C37" s="1058">
        <v>1120.8</v>
      </c>
      <c r="D37" s="1056"/>
      <c r="E37" s="1058"/>
      <c r="F37" s="1056"/>
      <c r="G37" s="1058"/>
      <c r="H37" s="1056">
        <v>2</v>
      </c>
      <c r="I37" s="1058">
        <v>323.2</v>
      </c>
      <c r="J37" s="1056"/>
      <c r="K37" s="1058"/>
      <c r="L37" s="1056">
        <v>3</v>
      </c>
      <c r="M37" s="1058">
        <v>543.3</v>
      </c>
      <c r="N37" s="1056"/>
      <c r="O37" s="1057"/>
      <c r="P37" s="1056"/>
      <c r="Q37" s="1057"/>
      <c r="R37" s="151">
        <f>SUM(B37,J37,N37,D37,F37,H37,L37,P37)</f>
        <v>15</v>
      </c>
      <c r="S37" s="600">
        <f>SUM(C37,K37,O37,E37,G37,I37,M37,Q37)</f>
        <v>1987.3</v>
      </c>
    </row>
    <row r="38" spans="1:19" s="54" customFormat="1" ht="23.25" customHeight="1">
      <c r="A38" s="10" t="s">
        <v>168</v>
      </c>
      <c r="B38" s="1056"/>
      <c r="C38" s="1058"/>
      <c r="D38" s="1056"/>
      <c r="E38" s="1058"/>
      <c r="F38" s="1056"/>
      <c r="G38" s="1058"/>
      <c r="H38" s="1056"/>
      <c r="I38" s="1058"/>
      <c r="J38" s="1056"/>
      <c r="K38" s="1058"/>
      <c r="L38" s="1056">
        <v>1</v>
      </c>
      <c r="M38" s="1058">
        <v>183.1</v>
      </c>
      <c r="N38" s="1056"/>
      <c r="O38" s="1056"/>
      <c r="P38" s="1056"/>
      <c r="Q38" s="1056"/>
      <c r="R38" s="151">
        <f t="shared" si="0"/>
        <v>1</v>
      </c>
      <c r="S38" s="600">
        <f t="shared" si="1"/>
        <v>183.1</v>
      </c>
    </row>
    <row r="39" spans="1:26" s="54" customFormat="1" ht="23.25" customHeight="1">
      <c r="A39" s="10" t="s">
        <v>273</v>
      </c>
      <c r="B39" s="1056"/>
      <c r="C39" s="1058"/>
      <c r="D39" s="1056"/>
      <c r="E39" s="1058"/>
      <c r="F39" s="1056"/>
      <c r="G39" s="1058"/>
      <c r="H39" s="1056">
        <v>3</v>
      </c>
      <c r="I39" s="1058">
        <v>508.3</v>
      </c>
      <c r="J39" s="1056"/>
      <c r="K39" s="1058"/>
      <c r="L39" s="1056"/>
      <c r="M39" s="1058"/>
      <c r="N39" s="1056"/>
      <c r="O39" s="1056"/>
      <c r="P39" s="1056"/>
      <c r="Q39" s="1056"/>
      <c r="R39" s="151">
        <f t="shared" si="0"/>
        <v>3</v>
      </c>
      <c r="S39" s="600">
        <f t="shared" si="1"/>
        <v>508.3</v>
      </c>
      <c r="T39" s="162"/>
      <c r="U39" s="162"/>
      <c r="V39" s="162"/>
      <c r="W39" s="162"/>
      <c r="X39" s="162"/>
      <c r="Y39" s="162"/>
      <c r="Z39" s="162"/>
    </row>
    <row r="40" spans="1:26" s="54" customFormat="1" ht="23.25" customHeight="1">
      <c r="A40" s="10" t="s">
        <v>200</v>
      </c>
      <c r="B40" s="1056">
        <v>4</v>
      </c>
      <c r="C40" s="1058">
        <v>831.2</v>
      </c>
      <c r="D40" s="1056"/>
      <c r="E40" s="1058"/>
      <c r="F40" s="1056"/>
      <c r="G40" s="1058"/>
      <c r="H40" s="1056"/>
      <c r="I40" s="1058"/>
      <c r="J40" s="1056"/>
      <c r="K40" s="1058"/>
      <c r="L40" s="1056"/>
      <c r="M40" s="1058"/>
      <c r="N40" s="1056"/>
      <c r="O40" s="1056"/>
      <c r="P40" s="1056"/>
      <c r="Q40" s="1056"/>
      <c r="R40" s="151">
        <f t="shared" si="0"/>
        <v>4</v>
      </c>
      <c r="S40" s="600">
        <f t="shared" si="1"/>
        <v>831.2</v>
      </c>
      <c r="T40" s="162"/>
      <c r="U40" s="162"/>
      <c r="V40" s="162"/>
      <c r="W40" s="162"/>
      <c r="X40" s="162"/>
      <c r="Y40" s="162"/>
      <c r="Z40" s="162"/>
    </row>
    <row r="41" spans="1:26" s="54" customFormat="1" ht="23.25" customHeight="1">
      <c r="A41" s="890" t="s">
        <v>422</v>
      </c>
      <c r="B41" s="1056">
        <v>1</v>
      </c>
      <c r="C41" s="1058">
        <v>233.9</v>
      </c>
      <c r="D41" s="1056"/>
      <c r="E41" s="1058"/>
      <c r="F41" s="1056"/>
      <c r="G41" s="1058"/>
      <c r="H41" s="1056">
        <v>2</v>
      </c>
      <c r="I41" s="1058">
        <v>445.4</v>
      </c>
      <c r="J41" s="1056"/>
      <c r="K41" s="1058"/>
      <c r="L41" s="1056"/>
      <c r="M41" s="1058"/>
      <c r="N41" s="1056"/>
      <c r="O41" s="1056"/>
      <c r="P41" s="1056"/>
      <c r="Q41" s="1056"/>
      <c r="R41" s="151">
        <f t="shared" si="0"/>
        <v>3</v>
      </c>
      <c r="S41" s="600">
        <f t="shared" si="1"/>
        <v>679.3</v>
      </c>
      <c r="T41" s="162"/>
      <c r="U41" s="162"/>
      <c r="V41" s="162"/>
      <c r="W41" s="162"/>
      <c r="X41" s="162"/>
      <c r="Y41" s="162"/>
      <c r="Z41" s="162"/>
    </row>
    <row r="42" spans="1:26" s="54" customFormat="1" ht="23.25" customHeight="1">
      <c r="A42" s="10" t="s">
        <v>39</v>
      </c>
      <c r="B42" s="1056"/>
      <c r="C42" s="1058"/>
      <c r="D42" s="1056"/>
      <c r="E42" s="1058"/>
      <c r="F42" s="1056"/>
      <c r="G42" s="1058"/>
      <c r="H42" s="1056"/>
      <c r="I42" s="1058"/>
      <c r="J42" s="1056"/>
      <c r="K42" s="1058"/>
      <c r="L42" s="1056">
        <v>2</v>
      </c>
      <c r="M42" s="1058">
        <v>424.8</v>
      </c>
      <c r="N42" s="1056"/>
      <c r="O42" s="1056"/>
      <c r="P42" s="1056">
        <v>1</v>
      </c>
      <c r="Q42" s="1056">
        <v>200.3</v>
      </c>
      <c r="R42" s="151">
        <f aca="true" t="shared" si="2" ref="R42:R59">SUM(B42,J42,N42,D42,F42,H42,L42,P42)</f>
        <v>3</v>
      </c>
      <c r="S42" s="600">
        <f aca="true" t="shared" si="3" ref="S42:S59">SUM(C42,K42,O42,E42,G42,I42,M42,Q42)</f>
        <v>625.1</v>
      </c>
      <c r="T42" s="162"/>
      <c r="U42" s="162"/>
      <c r="V42" s="162"/>
      <c r="W42" s="162"/>
      <c r="X42" s="162"/>
      <c r="Y42" s="162"/>
      <c r="Z42" s="162"/>
    </row>
    <row r="43" spans="1:71" s="61" customFormat="1" ht="23.25" customHeight="1">
      <c r="A43" s="10" t="s">
        <v>424</v>
      </c>
      <c r="B43" s="1056">
        <v>5</v>
      </c>
      <c r="C43" s="1058">
        <v>902</v>
      </c>
      <c r="D43" s="1056"/>
      <c r="E43" s="1058"/>
      <c r="F43" s="1056"/>
      <c r="G43" s="1058"/>
      <c r="H43" s="1056"/>
      <c r="I43" s="1058"/>
      <c r="J43" s="1056"/>
      <c r="K43" s="1058"/>
      <c r="L43" s="1056">
        <v>1</v>
      </c>
      <c r="M43" s="1058">
        <v>226.1</v>
      </c>
      <c r="N43" s="1056"/>
      <c r="O43" s="1056"/>
      <c r="P43" s="1056"/>
      <c r="Q43" s="1056"/>
      <c r="R43" s="151">
        <f t="shared" si="2"/>
        <v>6</v>
      </c>
      <c r="S43" s="600">
        <f t="shared" si="3"/>
        <v>1128.1</v>
      </c>
      <c r="T43" s="162"/>
      <c r="U43" s="162"/>
      <c r="V43" s="162"/>
      <c r="W43" s="162"/>
      <c r="X43" s="162"/>
      <c r="Y43" s="162"/>
      <c r="Z43" s="162"/>
      <c r="AA43" s="54"/>
      <c r="AB43" s="54"/>
      <c r="AC43" s="54"/>
      <c r="AD43" s="54"/>
      <c r="AE43" s="54"/>
      <c r="AF43" s="54"/>
      <c r="AG43" s="54"/>
      <c r="AH43" s="54"/>
      <c r="AI43" s="54"/>
      <c r="AJ43" s="54"/>
      <c r="AK43" s="54"/>
      <c r="AL43" s="54"/>
      <c r="AM43" s="54"/>
      <c r="AN43" s="54"/>
      <c r="AO43"/>
      <c r="AP43"/>
      <c r="AQ43"/>
      <c r="AR43"/>
      <c r="AS43"/>
      <c r="AT43"/>
      <c r="AU43"/>
      <c r="AV43"/>
      <c r="AW43"/>
      <c r="AX43"/>
      <c r="AY43"/>
      <c r="AZ43"/>
      <c r="BA43"/>
      <c r="BB43"/>
      <c r="BC43"/>
      <c r="BD43"/>
      <c r="BE43"/>
      <c r="BF43"/>
      <c r="BG43"/>
      <c r="BH43"/>
      <c r="BI43"/>
      <c r="BJ43"/>
      <c r="BK43"/>
      <c r="BL43"/>
      <c r="BM43"/>
      <c r="BN43"/>
      <c r="BO43"/>
      <c r="BP43"/>
      <c r="BQ43"/>
      <c r="BR43"/>
      <c r="BS43"/>
    </row>
    <row r="44" spans="1:71" s="61" customFormat="1" ht="23.25" customHeight="1">
      <c r="A44" s="890" t="s">
        <v>40</v>
      </c>
      <c r="B44" s="1056">
        <v>2</v>
      </c>
      <c r="C44" s="1058">
        <v>296.9</v>
      </c>
      <c r="D44" s="1056"/>
      <c r="E44" s="1058"/>
      <c r="F44" s="1056"/>
      <c r="G44" s="1058"/>
      <c r="H44" s="1056"/>
      <c r="I44" s="1058"/>
      <c r="J44" s="1056"/>
      <c r="K44" s="1058"/>
      <c r="L44" s="1056"/>
      <c r="M44" s="1058"/>
      <c r="N44" s="1056"/>
      <c r="O44" s="1056"/>
      <c r="P44" s="1056"/>
      <c r="Q44" s="1056"/>
      <c r="R44" s="151">
        <f t="shared" si="2"/>
        <v>2</v>
      </c>
      <c r="S44" s="600">
        <f t="shared" si="3"/>
        <v>296.9</v>
      </c>
      <c r="T44" s="162"/>
      <c r="U44" s="162"/>
      <c r="V44" s="162"/>
      <c r="W44" s="162"/>
      <c r="X44" s="162"/>
      <c r="Y44" s="162"/>
      <c r="Z44" s="162"/>
      <c r="AA44" s="54"/>
      <c r="AB44" s="54"/>
      <c r="AC44" s="54"/>
      <c r="AD44" s="54"/>
      <c r="AE44" s="54"/>
      <c r="AF44" s="54"/>
      <c r="AG44" s="54"/>
      <c r="AH44" s="54"/>
      <c r="AI44" s="54"/>
      <c r="AJ44" s="54"/>
      <c r="AK44" s="54"/>
      <c r="AL44" s="54"/>
      <c r="AM44" s="54"/>
      <c r="AN44" s="54"/>
      <c r="AO44"/>
      <c r="AP44"/>
      <c r="AQ44"/>
      <c r="AR44"/>
      <c r="AS44"/>
      <c r="AT44"/>
      <c r="AU44"/>
      <c r="AV44"/>
      <c r="AW44"/>
      <c r="AX44"/>
      <c r="AY44"/>
      <c r="AZ44"/>
      <c r="BA44"/>
      <c r="BB44"/>
      <c r="BC44"/>
      <c r="BD44"/>
      <c r="BE44"/>
      <c r="BF44"/>
      <c r="BG44"/>
      <c r="BH44"/>
      <c r="BI44"/>
      <c r="BJ44"/>
      <c r="BK44"/>
      <c r="BL44"/>
      <c r="BM44"/>
      <c r="BN44"/>
      <c r="BO44"/>
      <c r="BP44"/>
      <c r="BQ44"/>
      <c r="BR44"/>
      <c r="BS44"/>
    </row>
    <row r="45" spans="1:71" s="61" customFormat="1" ht="23.25" customHeight="1">
      <c r="A45" s="890" t="s">
        <v>41</v>
      </c>
      <c r="B45" s="1056">
        <v>1</v>
      </c>
      <c r="C45" s="1058">
        <v>157.6</v>
      </c>
      <c r="D45" s="1056"/>
      <c r="E45" s="1058"/>
      <c r="F45" s="1056"/>
      <c r="G45" s="1058"/>
      <c r="H45" s="1056"/>
      <c r="I45" s="1058"/>
      <c r="J45" s="1056"/>
      <c r="K45" s="1058"/>
      <c r="L45" s="1056">
        <v>3</v>
      </c>
      <c r="M45" s="1058">
        <v>528.6</v>
      </c>
      <c r="N45" s="1056"/>
      <c r="O45" s="1056"/>
      <c r="P45" s="1056"/>
      <c r="Q45" s="1056"/>
      <c r="R45" s="151">
        <f t="shared" si="2"/>
        <v>4</v>
      </c>
      <c r="S45" s="600">
        <f t="shared" si="3"/>
        <v>686.2</v>
      </c>
      <c r="T45" s="162"/>
      <c r="U45" s="162"/>
      <c r="V45" s="162"/>
      <c r="W45" s="162"/>
      <c r="X45" s="162"/>
      <c r="Y45" s="162"/>
      <c r="Z45" s="162"/>
      <c r="AA45" s="54"/>
      <c r="AB45" s="54"/>
      <c r="AC45" s="54"/>
      <c r="AD45" s="54"/>
      <c r="AE45" s="54"/>
      <c r="AF45" s="54"/>
      <c r="AG45" s="54"/>
      <c r="AH45" s="54"/>
      <c r="AI45" s="54"/>
      <c r="AJ45" s="54"/>
      <c r="AK45" s="54"/>
      <c r="AL45" s="54"/>
      <c r="AM45" s="54"/>
      <c r="AN45" s="54"/>
      <c r="AO45"/>
      <c r="AP45"/>
      <c r="AQ45"/>
      <c r="AR45"/>
      <c r="AS45"/>
      <c r="AT45"/>
      <c r="AU45"/>
      <c r="AV45"/>
      <c r="AW45"/>
      <c r="AX45"/>
      <c r="AY45"/>
      <c r="AZ45"/>
      <c r="BA45"/>
      <c r="BB45"/>
      <c r="BC45"/>
      <c r="BD45"/>
      <c r="BE45"/>
      <c r="BF45"/>
      <c r="BG45"/>
      <c r="BH45"/>
      <c r="BI45"/>
      <c r="BJ45"/>
      <c r="BK45"/>
      <c r="BL45"/>
      <c r="BM45"/>
      <c r="BN45"/>
      <c r="BO45"/>
      <c r="BP45"/>
      <c r="BQ45"/>
      <c r="BR45"/>
      <c r="BS45"/>
    </row>
    <row r="46" spans="1:71" s="61" customFormat="1" ht="23.25" customHeight="1">
      <c r="A46" s="890" t="s">
        <v>42</v>
      </c>
      <c r="B46" s="1056"/>
      <c r="C46" s="1058"/>
      <c r="D46" s="1056"/>
      <c r="E46" s="1058"/>
      <c r="F46" s="1056"/>
      <c r="G46" s="1058"/>
      <c r="H46" s="1056"/>
      <c r="I46" s="1058"/>
      <c r="J46" s="1056"/>
      <c r="K46" s="1058"/>
      <c r="L46" s="1056"/>
      <c r="M46" s="1058"/>
      <c r="N46" s="1056"/>
      <c r="O46" s="1056"/>
      <c r="P46" s="1056">
        <v>2</v>
      </c>
      <c r="Q46" s="1056">
        <v>320.6</v>
      </c>
      <c r="R46" s="151">
        <f t="shared" si="2"/>
        <v>2</v>
      </c>
      <c r="S46" s="600">
        <f t="shared" si="3"/>
        <v>320.6</v>
      </c>
      <c r="T46" s="162"/>
      <c r="U46" s="162"/>
      <c r="V46" s="162"/>
      <c r="W46" s="162"/>
      <c r="X46" s="162"/>
      <c r="Y46" s="162"/>
      <c r="Z46" s="162"/>
      <c r="AA46" s="54"/>
      <c r="AB46" s="54"/>
      <c r="AC46" s="54"/>
      <c r="AD46" s="54"/>
      <c r="AE46" s="54"/>
      <c r="AF46" s="54"/>
      <c r="AG46" s="54"/>
      <c r="AH46" s="54"/>
      <c r="AI46" s="54"/>
      <c r="AJ46" s="54"/>
      <c r="AK46" s="54"/>
      <c r="AL46" s="54"/>
      <c r="AM46" s="54"/>
      <c r="AN46" s="54"/>
      <c r="AO46"/>
      <c r="AP46"/>
      <c r="AQ46"/>
      <c r="AR46"/>
      <c r="AS46"/>
      <c r="AT46"/>
      <c r="AU46"/>
      <c r="AV46"/>
      <c r="AW46"/>
      <c r="AX46"/>
      <c r="AY46"/>
      <c r="AZ46"/>
      <c r="BA46"/>
      <c r="BB46"/>
      <c r="BC46"/>
      <c r="BD46"/>
      <c r="BE46"/>
      <c r="BF46"/>
      <c r="BG46"/>
      <c r="BH46"/>
      <c r="BI46"/>
      <c r="BJ46"/>
      <c r="BK46"/>
      <c r="BL46"/>
      <c r="BM46"/>
      <c r="BN46"/>
      <c r="BO46"/>
      <c r="BP46"/>
      <c r="BQ46"/>
      <c r="BR46"/>
      <c r="BS46"/>
    </row>
    <row r="47" spans="1:71" s="61" customFormat="1" ht="23.25" customHeight="1">
      <c r="A47" s="890" t="s">
        <v>43</v>
      </c>
      <c r="B47" s="1056">
        <v>1</v>
      </c>
      <c r="C47" s="1058">
        <v>123.7</v>
      </c>
      <c r="D47" s="1056"/>
      <c r="E47" s="1058"/>
      <c r="F47" s="1056"/>
      <c r="G47" s="1058"/>
      <c r="H47" s="1056"/>
      <c r="I47" s="1058"/>
      <c r="J47" s="1056"/>
      <c r="K47" s="1058"/>
      <c r="L47" s="1056"/>
      <c r="M47" s="1058"/>
      <c r="N47" s="1056"/>
      <c r="O47" s="1056"/>
      <c r="P47" s="1056"/>
      <c r="Q47" s="1056"/>
      <c r="R47" s="151">
        <f t="shared" si="2"/>
        <v>1</v>
      </c>
      <c r="S47" s="600">
        <f t="shared" si="3"/>
        <v>123.7</v>
      </c>
      <c r="T47" s="162"/>
      <c r="U47" s="162"/>
      <c r="V47" s="162"/>
      <c r="W47" s="162"/>
      <c r="X47" s="162"/>
      <c r="Y47" s="162"/>
      <c r="Z47" s="162"/>
      <c r="AA47" s="54"/>
      <c r="AB47" s="54"/>
      <c r="AC47" s="54"/>
      <c r="AD47" s="54"/>
      <c r="AE47" s="54"/>
      <c r="AF47" s="54"/>
      <c r="AG47" s="54"/>
      <c r="AH47" s="54"/>
      <c r="AI47" s="54"/>
      <c r="AJ47" s="54"/>
      <c r="AK47" s="54"/>
      <c r="AL47" s="54"/>
      <c r="AM47" s="54"/>
      <c r="AN47" s="54"/>
      <c r="AO47"/>
      <c r="AP47"/>
      <c r="AQ47"/>
      <c r="AR47"/>
      <c r="AS47"/>
      <c r="AT47"/>
      <c r="AU47"/>
      <c r="AV47"/>
      <c r="AW47"/>
      <c r="AX47"/>
      <c r="AY47"/>
      <c r="AZ47"/>
      <c r="BA47"/>
      <c r="BB47"/>
      <c r="BC47"/>
      <c r="BD47"/>
      <c r="BE47"/>
      <c r="BF47"/>
      <c r="BG47"/>
      <c r="BH47"/>
      <c r="BI47"/>
      <c r="BJ47"/>
      <c r="BK47"/>
      <c r="BL47"/>
      <c r="BM47"/>
      <c r="BN47"/>
      <c r="BO47"/>
      <c r="BP47"/>
      <c r="BQ47"/>
      <c r="BR47"/>
      <c r="BS47"/>
    </row>
    <row r="48" spans="1:71" s="61" customFormat="1" ht="23.25" customHeight="1">
      <c r="A48" s="890" t="s">
        <v>427</v>
      </c>
      <c r="B48" s="1056"/>
      <c r="C48" s="1058"/>
      <c r="D48" s="1056"/>
      <c r="E48" s="1058"/>
      <c r="F48" s="1056"/>
      <c r="G48" s="1058"/>
      <c r="H48" s="1056"/>
      <c r="I48" s="1058"/>
      <c r="J48" s="1056"/>
      <c r="K48" s="1058"/>
      <c r="L48" s="1056">
        <v>2</v>
      </c>
      <c r="M48" s="1058">
        <v>360.6</v>
      </c>
      <c r="N48" s="1056"/>
      <c r="O48" s="1056"/>
      <c r="P48" s="1056"/>
      <c r="Q48" s="1056"/>
      <c r="R48" s="151">
        <f t="shared" si="2"/>
        <v>2</v>
      </c>
      <c r="S48" s="600">
        <f t="shared" si="3"/>
        <v>360.6</v>
      </c>
      <c r="T48" s="162"/>
      <c r="U48" s="162"/>
      <c r="V48" s="162"/>
      <c r="W48" s="162"/>
      <c r="X48" s="162"/>
      <c r="Y48" s="162"/>
      <c r="Z48" s="162"/>
      <c r="AA48" s="54"/>
      <c r="AB48" s="54"/>
      <c r="AC48" s="54"/>
      <c r="AD48" s="54"/>
      <c r="AE48" s="54"/>
      <c r="AF48" s="54"/>
      <c r="AG48" s="54"/>
      <c r="AH48" s="54"/>
      <c r="AI48" s="54"/>
      <c r="AJ48" s="54"/>
      <c r="AK48" s="54"/>
      <c r="AL48" s="54"/>
      <c r="AM48" s="54"/>
      <c r="AN48" s="54"/>
      <c r="AO48"/>
      <c r="AP48"/>
      <c r="AQ48"/>
      <c r="AR48"/>
      <c r="AS48"/>
      <c r="AT48"/>
      <c r="AU48"/>
      <c r="AV48"/>
      <c r="AW48"/>
      <c r="AX48"/>
      <c r="AY48"/>
      <c r="AZ48"/>
      <c r="BA48"/>
      <c r="BB48"/>
      <c r="BC48"/>
      <c r="BD48"/>
      <c r="BE48"/>
      <c r="BF48"/>
      <c r="BG48"/>
      <c r="BH48"/>
      <c r="BI48"/>
      <c r="BJ48"/>
      <c r="BK48"/>
      <c r="BL48"/>
      <c r="BM48"/>
      <c r="BN48"/>
      <c r="BO48"/>
      <c r="BP48"/>
      <c r="BQ48"/>
      <c r="BR48"/>
      <c r="BS48"/>
    </row>
    <row r="49" spans="1:71" s="61" customFormat="1" ht="23.25" customHeight="1">
      <c r="A49" s="10" t="s">
        <v>527</v>
      </c>
      <c r="B49" s="1056">
        <v>2</v>
      </c>
      <c r="C49" s="1058">
        <v>410.4</v>
      </c>
      <c r="D49" s="1056"/>
      <c r="E49" s="1058"/>
      <c r="F49" s="1056"/>
      <c r="G49" s="1058"/>
      <c r="H49" s="1056"/>
      <c r="I49" s="1058"/>
      <c r="J49" s="1056"/>
      <c r="K49" s="1058"/>
      <c r="L49" s="1056"/>
      <c r="M49" s="1058"/>
      <c r="N49" s="1056"/>
      <c r="O49" s="1056"/>
      <c r="P49" s="1056"/>
      <c r="Q49" s="1056"/>
      <c r="R49" s="151">
        <f>SUM(B49,J49,N49,D49,F49,H49,L49,P49)</f>
        <v>2</v>
      </c>
      <c r="S49" s="600">
        <f>SUM(C49,K49,O49,E49,G49,I49,M49,Q49)</f>
        <v>410.4</v>
      </c>
      <c r="T49" s="162"/>
      <c r="U49" s="162"/>
      <c r="V49" s="162"/>
      <c r="W49" s="162"/>
      <c r="X49" s="162"/>
      <c r="Y49" s="162"/>
      <c r="Z49" s="162"/>
      <c r="AA49" s="54"/>
      <c r="AB49" s="54"/>
      <c r="AC49" s="54"/>
      <c r="AD49" s="54"/>
      <c r="AE49" s="54"/>
      <c r="AF49" s="54"/>
      <c r="AG49" s="54"/>
      <c r="AH49" s="54"/>
      <c r="AI49" s="54"/>
      <c r="AJ49" s="54"/>
      <c r="AK49" s="54"/>
      <c r="AL49" s="54"/>
      <c r="AM49" s="54"/>
      <c r="AN49" s="54"/>
      <c r="AO49"/>
      <c r="AP49"/>
      <c r="AQ49"/>
      <c r="AR49"/>
      <c r="AS49"/>
      <c r="AT49"/>
      <c r="AU49"/>
      <c r="AV49"/>
      <c r="AW49"/>
      <c r="AX49"/>
      <c r="AY49"/>
      <c r="AZ49"/>
      <c r="BA49"/>
      <c r="BB49"/>
      <c r="BC49"/>
      <c r="BD49"/>
      <c r="BE49"/>
      <c r="BF49"/>
      <c r="BG49"/>
      <c r="BH49"/>
      <c r="BI49"/>
      <c r="BJ49"/>
      <c r="BK49"/>
      <c r="BL49"/>
      <c r="BM49"/>
      <c r="BN49"/>
      <c r="BO49"/>
      <c r="BP49"/>
      <c r="BQ49"/>
      <c r="BR49"/>
      <c r="BS49"/>
    </row>
    <row r="50" spans="1:71" s="61" customFormat="1" ht="23.25" customHeight="1">
      <c r="A50" s="890" t="s">
        <v>45</v>
      </c>
      <c r="B50" s="1056">
        <v>2</v>
      </c>
      <c r="C50" s="1058">
        <v>277.3</v>
      </c>
      <c r="D50" s="1056"/>
      <c r="E50" s="1058"/>
      <c r="F50" s="1056"/>
      <c r="G50" s="1058"/>
      <c r="H50" s="1056"/>
      <c r="I50" s="1058"/>
      <c r="J50" s="1056"/>
      <c r="K50" s="1058"/>
      <c r="L50" s="1056"/>
      <c r="M50" s="1058"/>
      <c r="N50" s="1056"/>
      <c r="O50" s="1056"/>
      <c r="P50" s="1056"/>
      <c r="Q50" s="1056"/>
      <c r="R50" s="151">
        <f t="shared" si="2"/>
        <v>2</v>
      </c>
      <c r="S50" s="600">
        <f t="shared" si="3"/>
        <v>277.3</v>
      </c>
      <c r="T50" s="162"/>
      <c r="U50" s="162"/>
      <c r="V50" s="162"/>
      <c r="W50" s="162"/>
      <c r="X50" s="162"/>
      <c r="Y50" s="162"/>
      <c r="Z50" s="162"/>
      <c r="AA50" s="54"/>
      <c r="AB50" s="54"/>
      <c r="AC50" s="54"/>
      <c r="AD50" s="54"/>
      <c r="AE50" s="54"/>
      <c r="AF50" s="54"/>
      <c r="AG50" s="54"/>
      <c r="AH50" s="54"/>
      <c r="AI50" s="54"/>
      <c r="AJ50" s="54"/>
      <c r="AK50" s="54"/>
      <c r="AL50" s="54"/>
      <c r="AM50" s="54"/>
      <c r="AN50" s="54"/>
      <c r="AO50"/>
      <c r="AP50"/>
      <c r="AQ50"/>
      <c r="AR50"/>
      <c r="AS50"/>
      <c r="AT50"/>
      <c r="AU50"/>
      <c r="AV50"/>
      <c r="AW50"/>
      <c r="AX50"/>
      <c r="AY50"/>
      <c r="AZ50"/>
      <c r="BA50"/>
      <c r="BB50"/>
      <c r="BC50"/>
      <c r="BD50"/>
      <c r="BE50"/>
      <c r="BF50"/>
      <c r="BG50"/>
      <c r="BH50"/>
      <c r="BI50"/>
      <c r="BJ50"/>
      <c r="BK50"/>
      <c r="BL50"/>
      <c r="BM50"/>
      <c r="BN50"/>
      <c r="BO50"/>
      <c r="BP50"/>
      <c r="BQ50"/>
      <c r="BR50"/>
      <c r="BS50"/>
    </row>
    <row r="51" spans="1:71" s="61" customFormat="1" ht="23.25" customHeight="1">
      <c r="A51" s="10" t="s">
        <v>142</v>
      </c>
      <c r="B51" s="1056">
        <v>1</v>
      </c>
      <c r="C51" s="1058">
        <v>137</v>
      </c>
      <c r="D51" s="1056"/>
      <c r="E51" s="1058"/>
      <c r="F51" s="1056"/>
      <c r="G51" s="1058"/>
      <c r="H51" s="1056"/>
      <c r="I51" s="1058"/>
      <c r="J51" s="1056"/>
      <c r="K51" s="1058"/>
      <c r="L51" s="1056"/>
      <c r="M51" s="1058"/>
      <c r="N51" s="1056"/>
      <c r="O51" s="1056"/>
      <c r="P51" s="1056"/>
      <c r="Q51" s="1056"/>
      <c r="R51" s="151">
        <f t="shared" si="2"/>
        <v>1</v>
      </c>
      <c r="S51" s="600">
        <f t="shared" si="3"/>
        <v>137</v>
      </c>
      <c r="T51" s="162"/>
      <c r="U51" s="162"/>
      <c r="V51" s="162"/>
      <c r="W51" s="162"/>
      <c r="X51" s="162"/>
      <c r="Y51" s="162"/>
      <c r="Z51" s="162"/>
      <c r="AA51" s="54"/>
      <c r="AB51" s="54"/>
      <c r="AC51" s="54"/>
      <c r="AD51" s="54"/>
      <c r="AE51" s="54"/>
      <c r="AF51" s="54"/>
      <c r="AG51" s="54"/>
      <c r="AH51" s="54"/>
      <c r="AI51" s="54"/>
      <c r="AJ51" s="54"/>
      <c r="AK51" s="54"/>
      <c r="AL51" s="54"/>
      <c r="AM51" s="54"/>
      <c r="AN51" s="54"/>
      <c r="AO51"/>
      <c r="AP51"/>
      <c r="AQ51"/>
      <c r="AR51"/>
      <c r="AS51"/>
      <c r="AT51"/>
      <c r="AU51"/>
      <c r="AV51"/>
      <c r="AW51"/>
      <c r="AX51"/>
      <c r="AY51"/>
      <c r="AZ51"/>
      <c r="BA51"/>
      <c r="BB51"/>
      <c r="BC51"/>
      <c r="BD51"/>
      <c r="BE51"/>
      <c r="BF51"/>
      <c r="BG51"/>
      <c r="BH51"/>
      <c r="BI51"/>
      <c r="BJ51"/>
      <c r="BK51"/>
      <c r="BL51"/>
      <c r="BM51"/>
      <c r="BN51"/>
      <c r="BO51"/>
      <c r="BP51"/>
      <c r="BQ51"/>
      <c r="BR51"/>
      <c r="BS51"/>
    </row>
    <row r="52" spans="1:71" s="61" customFormat="1" ht="23.25" customHeight="1">
      <c r="A52" s="10" t="s">
        <v>353</v>
      </c>
      <c r="B52" s="1056">
        <v>7</v>
      </c>
      <c r="C52" s="1058">
        <v>1461.3</v>
      </c>
      <c r="D52" s="1056"/>
      <c r="E52" s="1058"/>
      <c r="F52" s="1056"/>
      <c r="G52" s="1058"/>
      <c r="H52" s="1056">
        <v>1</v>
      </c>
      <c r="I52" s="1058">
        <v>181.3</v>
      </c>
      <c r="J52" s="1056"/>
      <c r="K52" s="1058"/>
      <c r="L52" s="1056">
        <v>4</v>
      </c>
      <c r="M52" s="1058">
        <v>813.8</v>
      </c>
      <c r="N52" s="1056"/>
      <c r="O52" s="1056"/>
      <c r="P52" s="1056"/>
      <c r="Q52" s="1056"/>
      <c r="R52" s="151">
        <f t="shared" si="2"/>
        <v>12</v>
      </c>
      <c r="S52" s="600">
        <f t="shared" si="3"/>
        <v>2456.3999999999996</v>
      </c>
      <c r="T52" s="162"/>
      <c r="U52" s="162"/>
      <c r="V52" s="162"/>
      <c r="W52" s="162"/>
      <c r="X52" s="162"/>
      <c r="Y52" s="162"/>
      <c r="Z52" s="162"/>
      <c r="AA52" s="54"/>
      <c r="AB52" s="54"/>
      <c r="AC52" s="54"/>
      <c r="AD52" s="54"/>
      <c r="AE52" s="54"/>
      <c r="AF52" s="54"/>
      <c r="AG52" s="54"/>
      <c r="AH52" s="54"/>
      <c r="AI52" s="54"/>
      <c r="AJ52" s="54"/>
      <c r="AK52" s="54"/>
      <c r="AL52" s="54"/>
      <c r="AM52" s="54"/>
      <c r="AN52" s="54"/>
      <c r="AO52"/>
      <c r="AP52"/>
      <c r="AQ52"/>
      <c r="AR52"/>
      <c r="AS52"/>
      <c r="AT52"/>
      <c r="AU52"/>
      <c r="AV52"/>
      <c r="AW52"/>
      <c r="AX52"/>
      <c r="AY52"/>
      <c r="AZ52"/>
      <c r="BA52"/>
      <c r="BB52"/>
      <c r="BC52"/>
      <c r="BD52"/>
      <c r="BE52"/>
      <c r="BF52"/>
      <c r="BG52"/>
      <c r="BH52"/>
      <c r="BI52"/>
      <c r="BJ52"/>
      <c r="BK52"/>
      <c r="BL52"/>
      <c r="BM52"/>
      <c r="BN52"/>
      <c r="BO52"/>
      <c r="BP52"/>
      <c r="BQ52"/>
      <c r="BR52"/>
      <c r="BS52"/>
    </row>
    <row r="53" spans="1:71" s="61" customFormat="1" ht="23.25" customHeight="1">
      <c r="A53" s="10" t="s">
        <v>430</v>
      </c>
      <c r="B53" s="1056">
        <v>1</v>
      </c>
      <c r="C53" s="1058">
        <v>120.3</v>
      </c>
      <c r="D53" s="1056"/>
      <c r="E53" s="1058"/>
      <c r="F53" s="1056"/>
      <c r="G53" s="1058"/>
      <c r="H53" s="1056"/>
      <c r="I53" s="1058"/>
      <c r="J53" s="1056"/>
      <c r="K53" s="1058"/>
      <c r="L53" s="1056"/>
      <c r="M53" s="1058"/>
      <c r="N53" s="1056"/>
      <c r="O53" s="1056"/>
      <c r="P53" s="1056"/>
      <c r="Q53" s="1056"/>
      <c r="R53" s="151">
        <f>SUM(B53,J53,N53,D53,F53,H53,L53,P53)</f>
        <v>1</v>
      </c>
      <c r="S53" s="600">
        <f>SUM(C53,K53,O53,E53,G53,I53,M53,Q53)</f>
        <v>120.3</v>
      </c>
      <c r="T53" s="162"/>
      <c r="U53" s="162"/>
      <c r="V53" s="162"/>
      <c r="W53" s="162"/>
      <c r="X53" s="162"/>
      <c r="Y53" s="162"/>
      <c r="Z53" s="162"/>
      <c r="AA53" s="54"/>
      <c r="AB53" s="54"/>
      <c r="AC53" s="54"/>
      <c r="AD53" s="54"/>
      <c r="AE53" s="54"/>
      <c r="AF53" s="54"/>
      <c r="AG53" s="54"/>
      <c r="AH53" s="54"/>
      <c r="AI53" s="54"/>
      <c r="AJ53" s="54"/>
      <c r="AK53" s="54"/>
      <c r="AL53" s="54"/>
      <c r="AM53" s="54"/>
      <c r="AN53" s="54"/>
      <c r="AO53"/>
      <c r="AP53"/>
      <c r="AQ53"/>
      <c r="AR53"/>
      <c r="AS53"/>
      <c r="AT53"/>
      <c r="AU53"/>
      <c r="AV53"/>
      <c r="AW53"/>
      <c r="AX53"/>
      <c r="AY53"/>
      <c r="AZ53"/>
      <c r="BA53"/>
      <c r="BB53"/>
      <c r="BC53"/>
      <c r="BD53"/>
      <c r="BE53"/>
      <c r="BF53"/>
      <c r="BG53"/>
      <c r="BH53"/>
      <c r="BI53"/>
      <c r="BJ53"/>
      <c r="BK53"/>
      <c r="BL53"/>
      <c r="BM53"/>
      <c r="BN53"/>
      <c r="BO53"/>
      <c r="BP53"/>
      <c r="BQ53"/>
      <c r="BR53"/>
      <c r="BS53"/>
    </row>
    <row r="54" spans="1:71" s="61" customFormat="1" ht="23.25" customHeight="1">
      <c r="A54" s="10" t="s">
        <v>48</v>
      </c>
      <c r="B54" s="1056">
        <v>1</v>
      </c>
      <c r="C54" s="1058">
        <v>156.6</v>
      </c>
      <c r="D54" s="1056"/>
      <c r="E54" s="1058"/>
      <c r="F54" s="1056"/>
      <c r="G54" s="1058"/>
      <c r="H54" s="1056"/>
      <c r="I54" s="1058"/>
      <c r="J54" s="1056"/>
      <c r="K54" s="1058"/>
      <c r="L54" s="1056">
        <v>1</v>
      </c>
      <c r="M54" s="1058">
        <v>220.8</v>
      </c>
      <c r="N54" s="1056"/>
      <c r="O54" s="1056"/>
      <c r="P54" s="1056"/>
      <c r="Q54" s="1056"/>
      <c r="R54" s="151">
        <f t="shared" si="2"/>
        <v>2</v>
      </c>
      <c r="S54" s="600">
        <f t="shared" si="3"/>
        <v>377.4</v>
      </c>
      <c r="T54" s="162"/>
      <c r="U54" s="162"/>
      <c r="V54" s="162"/>
      <c r="W54" s="162"/>
      <c r="X54" s="162"/>
      <c r="Y54" s="162"/>
      <c r="Z54" s="162"/>
      <c r="AA54" s="54"/>
      <c r="AB54" s="54"/>
      <c r="AC54" s="54"/>
      <c r="AD54" s="54"/>
      <c r="AE54" s="54"/>
      <c r="AF54" s="54"/>
      <c r="AG54" s="54"/>
      <c r="AH54" s="54"/>
      <c r="AI54" s="54"/>
      <c r="AJ54" s="54"/>
      <c r="AK54" s="54"/>
      <c r="AL54" s="54"/>
      <c r="AM54" s="54"/>
      <c r="AN54" s="54"/>
      <c r="AO54"/>
      <c r="AP54"/>
      <c r="AQ54"/>
      <c r="AR54"/>
      <c r="AS54"/>
      <c r="AT54"/>
      <c r="AU54"/>
      <c r="AV54"/>
      <c r="AW54"/>
      <c r="AX54"/>
      <c r="AY54"/>
      <c r="AZ54"/>
      <c r="BA54"/>
      <c r="BB54"/>
      <c r="BC54"/>
      <c r="BD54"/>
      <c r="BE54"/>
      <c r="BF54"/>
      <c r="BG54"/>
      <c r="BH54"/>
      <c r="BI54"/>
      <c r="BJ54"/>
      <c r="BK54"/>
      <c r="BL54"/>
      <c r="BM54"/>
      <c r="BN54"/>
      <c r="BO54"/>
      <c r="BP54"/>
      <c r="BQ54"/>
      <c r="BR54"/>
      <c r="BS54"/>
    </row>
    <row r="55" spans="1:71" s="61" customFormat="1" ht="23.25" customHeight="1">
      <c r="A55" s="16" t="s">
        <v>358</v>
      </c>
      <c r="B55" s="1071">
        <v>1</v>
      </c>
      <c r="C55" s="1072">
        <v>137.9</v>
      </c>
      <c r="D55" s="1071"/>
      <c r="E55" s="1072"/>
      <c r="F55" s="1071"/>
      <c r="G55" s="1072"/>
      <c r="H55" s="1071"/>
      <c r="I55" s="1072"/>
      <c r="J55" s="1071"/>
      <c r="K55" s="1072"/>
      <c r="L55" s="1071">
        <v>1</v>
      </c>
      <c r="M55" s="1072">
        <v>148.9</v>
      </c>
      <c r="N55" s="1071"/>
      <c r="O55" s="1071"/>
      <c r="P55" s="1071"/>
      <c r="Q55" s="1071"/>
      <c r="R55" s="275">
        <f t="shared" si="2"/>
        <v>2</v>
      </c>
      <c r="S55" s="601">
        <f t="shared" si="3"/>
        <v>286.8</v>
      </c>
      <c r="T55" s="162"/>
      <c r="U55" s="162"/>
      <c r="V55" s="162"/>
      <c r="W55" s="162"/>
      <c r="X55" s="162"/>
      <c r="Y55" s="162"/>
      <c r="Z55" s="162"/>
      <c r="AA55" s="54"/>
      <c r="AB55" s="54"/>
      <c r="AC55" s="54"/>
      <c r="AD55" s="54"/>
      <c r="AE55" s="54"/>
      <c r="AF55" s="54"/>
      <c r="AG55" s="54"/>
      <c r="AH55" s="54"/>
      <c r="AI55" s="54"/>
      <c r="AJ55" s="54"/>
      <c r="AK55" s="54"/>
      <c r="AL55" s="54"/>
      <c r="AM55" s="54"/>
      <c r="AN55" s="54"/>
      <c r="AO55"/>
      <c r="AP55"/>
      <c r="AQ55"/>
      <c r="AR55"/>
      <c r="AS55"/>
      <c r="AT55"/>
      <c r="AU55"/>
      <c r="AV55"/>
      <c r="AW55"/>
      <c r="AX55"/>
      <c r="AY55"/>
      <c r="AZ55"/>
      <c r="BA55"/>
      <c r="BB55"/>
      <c r="BC55"/>
      <c r="BD55"/>
      <c r="BE55"/>
      <c r="BF55"/>
      <c r="BG55"/>
      <c r="BH55"/>
      <c r="BI55"/>
      <c r="BJ55"/>
      <c r="BK55"/>
      <c r="BL55"/>
      <c r="BM55"/>
      <c r="BN55"/>
      <c r="BO55"/>
      <c r="BP55"/>
      <c r="BQ55"/>
      <c r="BR55"/>
      <c r="BS55"/>
    </row>
    <row r="56" spans="1:71" s="61" customFormat="1" ht="23.25" customHeight="1">
      <c r="A56" s="1060" t="s">
        <v>128</v>
      </c>
      <c r="B56" s="1056"/>
      <c r="C56" s="1058"/>
      <c r="D56" s="1056"/>
      <c r="E56" s="1058"/>
      <c r="F56" s="1056"/>
      <c r="G56" s="1058"/>
      <c r="H56" s="1056"/>
      <c r="I56" s="1058"/>
      <c r="J56" s="1056"/>
      <c r="K56" s="1058"/>
      <c r="L56" s="1056"/>
      <c r="M56" s="1058"/>
      <c r="N56" s="1056"/>
      <c r="O56" s="1056"/>
      <c r="P56" s="1056"/>
      <c r="Q56" s="1056"/>
      <c r="R56" s="151"/>
      <c r="S56" s="600"/>
      <c r="T56" s="162"/>
      <c r="U56" s="162"/>
      <c r="V56" s="162"/>
      <c r="W56" s="162"/>
      <c r="X56" s="162"/>
      <c r="Y56" s="162"/>
      <c r="Z56" s="162"/>
      <c r="AA56" s="54"/>
      <c r="AB56" s="54"/>
      <c r="AC56" s="54"/>
      <c r="AD56" s="54"/>
      <c r="AE56" s="54"/>
      <c r="AF56" s="54"/>
      <c r="AG56" s="54"/>
      <c r="AH56" s="54"/>
      <c r="AI56" s="54"/>
      <c r="AJ56" s="54"/>
      <c r="AK56" s="54"/>
      <c r="AL56" s="54"/>
      <c r="AM56" s="54"/>
      <c r="AN56" s="54"/>
      <c r="AO56"/>
      <c r="AP56"/>
      <c r="AQ56"/>
      <c r="AR56"/>
      <c r="AS56"/>
      <c r="AT56"/>
      <c r="AU56"/>
      <c r="AV56"/>
      <c r="AW56"/>
      <c r="AX56"/>
      <c r="AY56"/>
      <c r="AZ56"/>
      <c r="BA56"/>
      <c r="BB56"/>
      <c r="BC56"/>
      <c r="BD56"/>
      <c r="BE56"/>
      <c r="BF56"/>
      <c r="BG56"/>
      <c r="BH56"/>
      <c r="BI56"/>
      <c r="BJ56"/>
      <c r="BK56"/>
      <c r="BL56"/>
      <c r="BM56"/>
      <c r="BN56"/>
      <c r="BO56"/>
      <c r="BP56"/>
      <c r="BQ56"/>
      <c r="BR56"/>
      <c r="BS56"/>
    </row>
    <row r="57" spans="1:71" s="61" customFormat="1" ht="23.25" customHeight="1">
      <c r="A57" s="10" t="s">
        <v>232</v>
      </c>
      <c r="B57" s="1056"/>
      <c r="C57" s="1058"/>
      <c r="D57" s="1056"/>
      <c r="E57" s="1058"/>
      <c r="F57" s="1056"/>
      <c r="G57" s="1058"/>
      <c r="H57" s="1056"/>
      <c r="I57" s="1058"/>
      <c r="J57" s="1056"/>
      <c r="K57" s="1058"/>
      <c r="L57" s="980">
        <v>1</v>
      </c>
      <c r="M57" s="1059">
        <v>139.9</v>
      </c>
      <c r="N57" s="1056"/>
      <c r="O57" s="1056"/>
      <c r="P57" s="1056"/>
      <c r="Q57" s="1056"/>
      <c r="R57" s="151">
        <f t="shared" si="2"/>
        <v>1</v>
      </c>
      <c r="S57" s="600">
        <f t="shared" si="3"/>
        <v>139.9</v>
      </c>
      <c r="T57" s="162"/>
      <c r="U57" s="162"/>
      <c r="V57" s="162"/>
      <c r="W57" s="162"/>
      <c r="X57" s="162"/>
      <c r="Y57" s="162"/>
      <c r="Z57" s="162"/>
      <c r="AA57" s="54"/>
      <c r="AB57" s="54"/>
      <c r="AC57" s="54"/>
      <c r="AD57" s="54"/>
      <c r="AE57" s="54"/>
      <c r="AF57" s="54"/>
      <c r="AG57" s="54"/>
      <c r="AH57" s="54"/>
      <c r="AI57" s="54"/>
      <c r="AJ57" s="54"/>
      <c r="AK57" s="54"/>
      <c r="AL57" s="54"/>
      <c r="AM57" s="54"/>
      <c r="AN57" s="54"/>
      <c r="AO57"/>
      <c r="AP57"/>
      <c r="AQ57"/>
      <c r="AR57"/>
      <c r="AS57"/>
      <c r="AT57"/>
      <c r="AU57"/>
      <c r="AV57"/>
      <c r="AW57"/>
      <c r="AX57"/>
      <c r="AY57"/>
      <c r="AZ57"/>
      <c r="BA57"/>
      <c r="BB57"/>
      <c r="BC57"/>
      <c r="BD57"/>
      <c r="BE57"/>
      <c r="BF57"/>
      <c r="BG57"/>
      <c r="BH57"/>
      <c r="BI57"/>
      <c r="BJ57"/>
      <c r="BK57"/>
      <c r="BL57"/>
      <c r="BM57"/>
      <c r="BN57"/>
      <c r="BO57"/>
      <c r="BP57"/>
      <c r="BQ57"/>
      <c r="BR57"/>
      <c r="BS57"/>
    </row>
    <row r="58" spans="1:71" s="61" customFormat="1" ht="23.25" customHeight="1">
      <c r="A58" s="10" t="s">
        <v>344</v>
      </c>
      <c r="B58" s="1056">
        <v>1</v>
      </c>
      <c r="C58" s="1058">
        <v>123</v>
      </c>
      <c r="D58" s="1056"/>
      <c r="E58" s="1058"/>
      <c r="F58" s="1056"/>
      <c r="G58" s="1058"/>
      <c r="H58" s="1056"/>
      <c r="I58" s="1058"/>
      <c r="J58" s="1056"/>
      <c r="K58" s="1058"/>
      <c r="L58" s="1056"/>
      <c r="M58" s="1058"/>
      <c r="N58" s="1056"/>
      <c r="O58" s="1056"/>
      <c r="P58" s="1056"/>
      <c r="Q58" s="1056"/>
      <c r="R58" s="151">
        <f t="shared" si="2"/>
        <v>1</v>
      </c>
      <c r="S58" s="600">
        <f t="shared" si="3"/>
        <v>123</v>
      </c>
      <c r="T58" s="162"/>
      <c r="U58" s="162"/>
      <c r="V58" s="162"/>
      <c r="W58" s="162"/>
      <c r="X58" s="162"/>
      <c r="Y58" s="162"/>
      <c r="Z58" s="162"/>
      <c r="AA58" s="54"/>
      <c r="AB58" s="54"/>
      <c r="AC58" s="54"/>
      <c r="AD58" s="54"/>
      <c r="AE58" s="54"/>
      <c r="AF58" s="54"/>
      <c r="AG58" s="54"/>
      <c r="AH58" s="54"/>
      <c r="AI58" s="54"/>
      <c r="AJ58" s="54"/>
      <c r="AK58" s="54"/>
      <c r="AL58" s="54"/>
      <c r="AM58" s="54"/>
      <c r="AN58" s="54"/>
      <c r="AO58"/>
      <c r="AP58"/>
      <c r="AQ58"/>
      <c r="AR58"/>
      <c r="AS58"/>
      <c r="AT58"/>
      <c r="AU58"/>
      <c r="AV58"/>
      <c r="AW58"/>
      <c r="AX58"/>
      <c r="AY58"/>
      <c r="AZ58"/>
      <c r="BA58"/>
      <c r="BB58"/>
      <c r="BC58"/>
      <c r="BD58"/>
      <c r="BE58"/>
      <c r="BF58"/>
      <c r="BG58"/>
      <c r="BH58"/>
      <c r="BI58"/>
      <c r="BJ58"/>
      <c r="BK58"/>
      <c r="BL58"/>
      <c r="BM58"/>
      <c r="BN58"/>
      <c r="BO58"/>
      <c r="BP58"/>
      <c r="BQ58"/>
      <c r="BR58"/>
      <c r="BS58"/>
    </row>
    <row r="59" spans="1:71" s="61" customFormat="1" ht="23.25" customHeight="1">
      <c r="A59" s="10" t="s">
        <v>33</v>
      </c>
      <c r="B59" s="1056">
        <v>1</v>
      </c>
      <c r="C59" s="1058">
        <v>152.2</v>
      </c>
      <c r="D59" s="1056"/>
      <c r="E59" s="1058"/>
      <c r="F59" s="1056"/>
      <c r="G59" s="1058"/>
      <c r="H59" s="1056"/>
      <c r="I59" s="1058"/>
      <c r="J59" s="1056"/>
      <c r="K59" s="1058"/>
      <c r="L59" s="1056"/>
      <c r="M59" s="1058"/>
      <c r="N59" s="1056"/>
      <c r="O59" s="1056"/>
      <c r="P59" s="1056"/>
      <c r="Q59" s="1056"/>
      <c r="R59" s="151">
        <f t="shared" si="2"/>
        <v>1</v>
      </c>
      <c r="S59" s="600">
        <f t="shared" si="3"/>
        <v>152.2</v>
      </c>
      <c r="T59" s="162"/>
      <c r="U59" s="162"/>
      <c r="V59" s="162"/>
      <c r="W59" s="162"/>
      <c r="X59" s="162"/>
      <c r="Y59" s="162"/>
      <c r="Z59" s="162"/>
      <c r="AA59" s="54"/>
      <c r="AB59" s="54"/>
      <c r="AC59" s="54"/>
      <c r="AD59" s="54"/>
      <c r="AE59" s="54"/>
      <c r="AF59" s="54"/>
      <c r="AG59" s="54"/>
      <c r="AH59" s="54"/>
      <c r="AI59" s="54"/>
      <c r="AJ59" s="54"/>
      <c r="AK59" s="54"/>
      <c r="AL59" s="54"/>
      <c r="AM59" s="54"/>
      <c r="AN59" s="54"/>
      <c r="AO59"/>
      <c r="AP59"/>
      <c r="AQ59"/>
      <c r="AR59"/>
      <c r="AS59"/>
      <c r="AT59"/>
      <c r="AU59"/>
      <c r="AV59"/>
      <c r="AW59"/>
      <c r="AX59"/>
      <c r="AY59"/>
      <c r="AZ59"/>
      <c r="BA59"/>
      <c r="BB59"/>
      <c r="BC59"/>
      <c r="BD59"/>
      <c r="BE59"/>
      <c r="BF59"/>
      <c r="BG59"/>
      <c r="BH59"/>
      <c r="BI59"/>
      <c r="BJ59"/>
      <c r="BK59"/>
      <c r="BL59"/>
      <c r="BM59"/>
      <c r="BN59"/>
      <c r="BO59"/>
      <c r="BP59"/>
      <c r="BQ59"/>
      <c r="BR59"/>
      <c r="BS59"/>
    </row>
    <row r="60" spans="1:71" s="61" customFormat="1" ht="23.25" customHeight="1">
      <c r="A60" s="16" t="s">
        <v>34</v>
      </c>
      <c r="B60" s="1071">
        <v>2</v>
      </c>
      <c r="C60" s="1072">
        <v>231.8</v>
      </c>
      <c r="D60" s="1071"/>
      <c r="E60" s="1072"/>
      <c r="F60" s="1071"/>
      <c r="G60" s="1072"/>
      <c r="H60" s="1071"/>
      <c r="I60" s="1072"/>
      <c r="J60" s="1071"/>
      <c r="K60" s="1072"/>
      <c r="L60" s="1071"/>
      <c r="M60" s="1072"/>
      <c r="N60" s="1071"/>
      <c r="O60" s="1071"/>
      <c r="P60" s="1071"/>
      <c r="Q60" s="1071"/>
      <c r="R60" s="275">
        <f aca="true" t="shared" si="4" ref="R60:R77">SUM(B60,J60,N60,D60,F60,H60,L60,P60)</f>
        <v>2</v>
      </c>
      <c r="S60" s="601">
        <f aca="true" t="shared" si="5" ref="S60:S77">SUM(C60,K60,O60,E60,G60,I60,M60,Q60)</f>
        <v>231.8</v>
      </c>
      <c r="T60" s="162"/>
      <c r="U60" s="162"/>
      <c r="V60" s="162"/>
      <c r="W60" s="162"/>
      <c r="X60" s="162"/>
      <c r="Y60" s="162"/>
      <c r="Z60" s="162"/>
      <c r="AA60" s="54"/>
      <c r="AB60" s="54"/>
      <c r="AC60" s="54"/>
      <c r="AD60" s="54"/>
      <c r="AE60" s="54"/>
      <c r="AF60" s="54"/>
      <c r="AG60" s="54"/>
      <c r="AH60" s="54"/>
      <c r="AI60" s="54"/>
      <c r="AJ60" s="54"/>
      <c r="AK60" s="54"/>
      <c r="AL60" s="54"/>
      <c r="AM60" s="54"/>
      <c r="AN60" s="54"/>
      <c r="AO60"/>
      <c r="AP60"/>
      <c r="AQ60"/>
      <c r="AR60"/>
      <c r="AS60"/>
      <c r="AT60"/>
      <c r="AU60"/>
      <c r="AV60"/>
      <c r="AW60"/>
      <c r="AX60"/>
      <c r="AY60"/>
      <c r="AZ60"/>
      <c r="BA60"/>
      <c r="BB60"/>
      <c r="BC60"/>
      <c r="BD60"/>
      <c r="BE60"/>
      <c r="BF60"/>
      <c r="BG60"/>
      <c r="BH60"/>
      <c r="BI60"/>
      <c r="BJ60"/>
      <c r="BK60"/>
      <c r="BL60"/>
      <c r="BM60"/>
      <c r="BN60"/>
      <c r="BO60"/>
      <c r="BP60"/>
      <c r="BQ60"/>
      <c r="BR60"/>
      <c r="BS60"/>
    </row>
    <row r="61" spans="1:19" ht="21.75">
      <c r="A61" s="116" t="s">
        <v>129</v>
      </c>
      <c r="B61" s="980"/>
      <c r="C61" s="1059"/>
      <c r="D61" s="980"/>
      <c r="E61" s="1059"/>
      <c r="F61" s="980"/>
      <c r="G61" s="1059"/>
      <c r="H61" s="980"/>
      <c r="I61" s="1059"/>
      <c r="J61" s="980"/>
      <c r="K61" s="1059"/>
      <c r="L61" s="980"/>
      <c r="M61" s="1059"/>
      <c r="N61" s="980"/>
      <c r="O61" s="980"/>
      <c r="P61" s="980"/>
      <c r="Q61" s="980"/>
      <c r="R61" s="151"/>
      <c r="S61" s="600"/>
    </row>
    <row r="62" spans="1:19" ht="21.75">
      <c r="A62" s="113" t="s">
        <v>166</v>
      </c>
      <c r="B62" s="980"/>
      <c r="C62" s="1059"/>
      <c r="D62" s="980"/>
      <c r="E62" s="1059"/>
      <c r="F62" s="980"/>
      <c r="G62" s="1059"/>
      <c r="H62" s="980">
        <v>1</v>
      </c>
      <c r="I62" s="1059">
        <v>227.4</v>
      </c>
      <c r="J62" s="980"/>
      <c r="K62" s="1059"/>
      <c r="L62" s="980"/>
      <c r="M62" s="1059"/>
      <c r="N62" s="980"/>
      <c r="O62" s="980"/>
      <c r="P62" s="980">
        <v>1</v>
      </c>
      <c r="Q62" s="980">
        <v>267.6</v>
      </c>
      <c r="R62" s="151">
        <f t="shared" si="4"/>
        <v>2</v>
      </c>
      <c r="S62" s="600">
        <f t="shared" si="5"/>
        <v>495</v>
      </c>
    </row>
    <row r="63" spans="1:19" ht="21.75">
      <c r="A63" s="113" t="s">
        <v>231</v>
      </c>
      <c r="B63" s="980">
        <v>1</v>
      </c>
      <c r="C63" s="1059">
        <v>255.7</v>
      </c>
      <c r="D63" s="980"/>
      <c r="E63" s="1059"/>
      <c r="F63" s="980"/>
      <c r="G63" s="1059"/>
      <c r="H63" s="980">
        <v>3</v>
      </c>
      <c r="I63" s="1059">
        <v>673.8</v>
      </c>
      <c r="J63" s="980"/>
      <c r="K63" s="1059"/>
      <c r="L63" s="980">
        <v>4</v>
      </c>
      <c r="M63" s="1059">
        <v>1056.4</v>
      </c>
      <c r="N63" s="980"/>
      <c r="O63" s="980"/>
      <c r="P63" s="980"/>
      <c r="Q63" s="980"/>
      <c r="R63" s="151">
        <f t="shared" si="4"/>
        <v>8</v>
      </c>
      <c r="S63" s="600">
        <f t="shared" si="5"/>
        <v>1985.9</v>
      </c>
    </row>
    <row r="64" spans="1:19" ht="21.75">
      <c r="A64" s="113" t="s">
        <v>158</v>
      </c>
      <c r="B64" s="980">
        <v>4</v>
      </c>
      <c r="C64" s="1059">
        <v>1166.8</v>
      </c>
      <c r="D64" s="980"/>
      <c r="E64" s="1059"/>
      <c r="F64" s="980"/>
      <c r="G64" s="1059"/>
      <c r="H64" s="980">
        <v>4</v>
      </c>
      <c r="I64" s="1059">
        <v>1281.2</v>
      </c>
      <c r="J64" s="980"/>
      <c r="K64" s="1059"/>
      <c r="L64" s="980">
        <v>3</v>
      </c>
      <c r="M64" s="1059">
        <v>909.9</v>
      </c>
      <c r="N64" s="980"/>
      <c r="O64" s="980"/>
      <c r="P64" s="980"/>
      <c r="Q64" s="980"/>
      <c r="R64" s="151">
        <f t="shared" si="4"/>
        <v>11</v>
      </c>
      <c r="S64" s="600">
        <f t="shared" si="5"/>
        <v>3357.9</v>
      </c>
    </row>
    <row r="65" spans="1:19" ht="21.75">
      <c r="A65" s="10" t="s">
        <v>276</v>
      </c>
      <c r="B65" s="980">
        <v>1</v>
      </c>
      <c r="C65" s="1059">
        <v>234.6</v>
      </c>
      <c r="D65" s="980"/>
      <c r="E65" s="1059"/>
      <c r="F65" s="980"/>
      <c r="G65" s="1059"/>
      <c r="H65" s="980"/>
      <c r="I65" s="1059"/>
      <c r="J65" s="980"/>
      <c r="K65" s="1059"/>
      <c r="L65" s="980"/>
      <c r="M65" s="1059"/>
      <c r="N65" s="980"/>
      <c r="O65" s="980"/>
      <c r="P65" s="980"/>
      <c r="Q65" s="980"/>
      <c r="R65" s="151">
        <f t="shared" si="4"/>
        <v>1</v>
      </c>
      <c r="S65" s="600">
        <f t="shared" si="5"/>
        <v>234.6</v>
      </c>
    </row>
    <row r="66" spans="1:19" ht="21.75">
      <c r="A66" s="10" t="s">
        <v>277</v>
      </c>
      <c r="B66" s="980">
        <v>3</v>
      </c>
      <c r="C66" s="1059">
        <v>751.2</v>
      </c>
      <c r="D66" s="980"/>
      <c r="E66" s="1059"/>
      <c r="F66" s="980"/>
      <c r="G66" s="1059"/>
      <c r="H66" s="980"/>
      <c r="I66" s="1059"/>
      <c r="J66" s="980"/>
      <c r="K66" s="1059"/>
      <c r="L66" s="980">
        <v>4</v>
      </c>
      <c r="M66" s="1059">
        <v>1293.4</v>
      </c>
      <c r="N66" s="980"/>
      <c r="O66" s="980"/>
      <c r="P66" s="980">
        <v>1</v>
      </c>
      <c r="Q66" s="980">
        <v>309.1</v>
      </c>
      <c r="R66" s="151">
        <f t="shared" si="4"/>
        <v>8</v>
      </c>
      <c r="S66" s="600">
        <f t="shared" si="5"/>
        <v>2353.7000000000003</v>
      </c>
    </row>
    <row r="67" spans="1:19" ht="21.75">
      <c r="A67" s="10" t="s">
        <v>236</v>
      </c>
      <c r="B67" s="980">
        <v>2</v>
      </c>
      <c r="C67" s="1059">
        <v>545</v>
      </c>
      <c r="D67" s="980"/>
      <c r="E67" s="1059"/>
      <c r="F67" s="980"/>
      <c r="G67" s="1059"/>
      <c r="H67" s="980"/>
      <c r="I67" s="1059"/>
      <c r="J67" s="980"/>
      <c r="K67" s="1059"/>
      <c r="L67" s="980">
        <v>3</v>
      </c>
      <c r="M67" s="1059">
        <v>916.5</v>
      </c>
      <c r="N67" s="980"/>
      <c r="O67" s="980"/>
      <c r="P67" s="980"/>
      <c r="Q67" s="980"/>
      <c r="R67" s="151">
        <f t="shared" si="4"/>
        <v>5</v>
      </c>
      <c r="S67" s="600">
        <f t="shared" si="5"/>
        <v>1461.5</v>
      </c>
    </row>
    <row r="68" spans="1:19" ht="21.75">
      <c r="A68" s="890" t="s">
        <v>445</v>
      </c>
      <c r="B68" s="980"/>
      <c r="C68" s="1059"/>
      <c r="D68" s="980"/>
      <c r="E68" s="1059"/>
      <c r="F68" s="980"/>
      <c r="G68" s="1059"/>
      <c r="H68" s="980">
        <v>4</v>
      </c>
      <c r="I68" s="1059">
        <v>1204.1</v>
      </c>
      <c r="J68" s="980"/>
      <c r="K68" s="1059"/>
      <c r="L68" s="980">
        <v>1</v>
      </c>
      <c r="M68" s="1059">
        <v>293.1</v>
      </c>
      <c r="N68" s="980"/>
      <c r="O68" s="980"/>
      <c r="P68" s="980"/>
      <c r="Q68" s="980"/>
      <c r="R68" s="151">
        <f t="shared" si="4"/>
        <v>5</v>
      </c>
      <c r="S68" s="600">
        <f t="shared" si="5"/>
        <v>1497.1999999999998</v>
      </c>
    </row>
    <row r="69" spans="1:19" ht="21.75">
      <c r="A69" s="890" t="s">
        <v>346</v>
      </c>
      <c r="B69" s="980">
        <v>3</v>
      </c>
      <c r="C69" s="1059">
        <v>733.8</v>
      </c>
      <c r="D69" s="980"/>
      <c r="E69" s="1059"/>
      <c r="F69" s="980"/>
      <c r="G69" s="1059"/>
      <c r="H69" s="980"/>
      <c r="I69" s="1059"/>
      <c r="J69" s="980"/>
      <c r="K69" s="1059"/>
      <c r="L69" s="980"/>
      <c r="M69" s="1059"/>
      <c r="N69" s="980"/>
      <c r="O69" s="980"/>
      <c r="P69" s="980"/>
      <c r="Q69" s="980"/>
      <c r="R69" s="151">
        <f t="shared" si="4"/>
        <v>3</v>
      </c>
      <c r="S69" s="600">
        <f t="shared" si="5"/>
        <v>733.8</v>
      </c>
    </row>
    <row r="70" spans="1:19" ht="21.75">
      <c r="A70" s="890" t="s">
        <v>51</v>
      </c>
      <c r="B70" s="980">
        <v>3</v>
      </c>
      <c r="C70" s="1059">
        <v>599.8</v>
      </c>
      <c r="D70" s="980"/>
      <c r="E70" s="1059"/>
      <c r="F70" s="980"/>
      <c r="G70" s="1059"/>
      <c r="H70" s="980"/>
      <c r="I70" s="1059"/>
      <c r="J70" s="980"/>
      <c r="K70" s="1059"/>
      <c r="L70" s="980">
        <v>2</v>
      </c>
      <c r="M70" s="1059">
        <v>504.3</v>
      </c>
      <c r="N70" s="980"/>
      <c r="O70" s="980"/>
      <c r="P70" s="980">
        <v>1</v>
      </c>
      <c r="Q70" s="980">
        <v>245.6</v>
      </c>
      <c r="R70" s="151">
        <f t="shared" si="4"/>
        <v>6</v>
      </c>
      <c r="S70" s="600">
        <f t="shared" si="5"/>
        <v>1349.6999999999998</v>
      </c>
    </row>
    <row r="71" spans="1:19" ht="21.75">
      <c r="A71" s="890" t="s">
        <v>255</v>
      </c>
      <c r="B71" s="980"/>
      <c r="C71" s="1059"/>
      <c r="D71" s="980"/>
      <c r="E71" s="1059"/>
      <c r="F71" s="980"/>
      <c r="G71" s="1059"/>
      <c r="H71" s="980">
        <v>1</v>
      </c>
      <c r="I71" s="1059">
        <v>232</v>
      </c>
      <c r="J71" s="980"/>
      <c r="K71" s="1059"/>
      <c r="L71" s="980"/>
      <c r="M71" s="1059"/>
      <c r="N71" s="980"/>
      <c r="O71" s="980"/>
      <c r="P71" s="980"/>
      <c r="Q71" s="980"/>
      <c r="R71" s="151">
        <f t="shared" si="4"/>
        <v>1</v>
      </c>
      <c r="S71" s="600">
        <f t="shared" si="5"/>
        <v>232</v>
      </c>
    </row>
    <row r="72" spans="1:19" ht="21.75">
      <c r="A72" s="890" t="s">
        <v>164</v>
      </c>
      <c r="B72" s="980">
        <v>1</v>
      </c>
      <c r="C72" s="1059">
        <v>265.3</v>
      </c>
      <c r="D72" s="980"/>
      <c r="E72" s="1059"/>
      <c r="F72" s="980"/>
      <c r="G72" s="1059"/>
      <c r="H72" s="980"/>
      <c r="I72" s="1059"/>
      <c r="J72" s="980"/>
      <c r="K72" s="1059"/>
      <c r="L72" s="980">
        <v>1</v>
      </c>
      <c r="M72" s="1059">
        <v>234.2</v>
      </c>
      <c r="N72" s="980"/>
      <c r="O72" s="980"/>
      <c r="P72" s="980"/>
      <c r="Q72" s="980"/>
      <c r="R72" s="151">
        <f t="shared" si="4"/>
        <v>2</v>
      </c>
      <c r="S72" s="600">
        <f t="shared" si="5"/>
        <v>499.5</v>
      </c>
    </row>
    <row r="73" spans="1:19" ht="21.75">
      <c r="A73" s="1024" t="s">
        <v>52</v>
      </c>
      <c r="B73" s="749">
        <v>1</v>
      </c>
      <c r="C73" s="1073">
        <v>278.7</v>
      </c>
      <c r="D73" s="749"/>
      <c r="E73" s="1073"/>
      <c r="F73" s="749"/>
      <c r="G73" s="1073"/>
      <c r="H73" s="749"/>
      <c r="I73" s="1073"/>
      <c r="J73" s="749"/>
      <c r="K73" s="1073"/>
      <c r="L73" s="749">
        <v>1</v>
      </c>
      <c r="M73" s="1073">
        <v>304</v>
      </c>
      <c r="N73" s="749"/>
      <c r="O73" s="749"/>
      <c r="P73" s="749"/>
      <c r="Q73" s="749"/>
      <c r="R73" s="275">
        <f t="shared" si="4"/>
        <v>2</v>
      </c>
      <c r="S73" s="601">
        <f t="shared" si="5"/>
        <v>582.7</v>
      </c>
    </row>
    <row r="74" spans="1:19" ht="21.75">
      <c r="A74" s="1060" t="s">
        <v>612</v>
      </c>
      <c r="B74" s="980"/>
      <c r="C74" s="1059"/>
      <c r="D74" s="980"/>
      <c r="E74" s="1059"/>
      <c r="F74" s="980"/>
      <c r="G74" s="1059"/>
      <c r="H74" s="980"/>
      <c r="I74" s="1059"/>
      <c r="J74" s="980"/>
      <c r="K74" s="1059"/>
      <c r="L74" s="980"/>
      <c r="M74" s="1059"/>
      <c r="N74" s="980"/>
      <c r="O74" s="980"/>
      <c r="P74" s="980"/>
      <c r="Q74" s="980"/>
      <c r="R74" s="151"/>
      <c r="S74" s="600"/>
    </row>
    <row r="75" spans="1:19" ht="21.75">
      <c r="A75" s="1024" t="s">
        <v>525</v>
      </c>
      <c r="B75" s="749"/>
      <c r="C75" s="1073"/>
      <c r="D75" s="749"/>
      <c r="E75" s="1073"/>
      <c r="F75" s="749"/>
      <c r="G75" s="1073"/>
      <c r="H75" s="749">
        <v>2</v>
      </c>
      <c r="I75" s="1073">
        <v>244.6</v>
      </c>
      <c r="J75" s="749"/>
      <c r="K75" s="1073"/>
      <c r="L75" s="749"/>
      <c r="M75" s="1073"/>
      <c r="N75" s="749"/>
      <c r="O75" s="749"/>
      <c r="P75" s="749"/>
      <c r="Q75" s="749"/>
      <c r="R75" s="275">
        <f>SUM(B75,J75,N75,D75,F75,H75,L75,P75)</f>
        <v>2</v>
      </c>
      <c r="S75" s="601">
        <f>SUM(C75,K75,O75,E75,G75,I75,M75,Q75)</f>
        <v>244.6</v>
      </c>
    </row>
    <row r="76" spans="1:19" ht="22.5" thickBot="1">
      <c r="A76" s="1060" t="s">
        <v>613</v>
      </c>
      <c r="B76" s="98">
        <v>4</v>
      </c>
      <c r="C76" s="233">
        <v>260.7</v>
      </c>
      <c r="L76" s="98">
        <v>2</v>
      </c>
      <c r="M76" s="233">
        <v>192</v>
      </c>
      <c r="R76" s="151">
        <f t="shared" si="4"/>
        <v>6</v>
      </c>
      <c r="S76" s="600">
        <f t="shared" si="5"/>
        <v>452.7</v>
      </c>
    </row>
    <row r="77" spans="1:19" ht="22.5" thickBot="1">
      <c r="A77" s="1062" t="s">
        <v>53</v>
      </c>
      <c r="B77" s="1066">
        <f aca="true" t="shared" si="6" ref="B77:Q77">SUM(B4:B76)</f>
        <v>115</v>
      </c>
      <c r="C77" s="1063">
        <f t="shared" si="6"/>
        <v>18164.699999999997</v>
      </c>
      <c r="D77" s="1066">
        <f t="shared" si="6"/>
        <v>0</v>
      </c>
      <c r="E77" s="1063">
        <f t="shared" si="6"/>
        <v>0</v>
      </c>
      <c r="F77" s="1066">
        <f t="shared" si="6"/>
        <v>0</v>
      </c>
      <c r="G77" s="1063">
        <f t="shared" si="6"/>
        <v>0</v>
      </c>
      <c r="H77" s="1066">
        <f t="shared" si="6"/>
        <v>34</v>
      </c>
      <c r="I77" s="1063">
        <f t="shared" si="6"/>
        <v>6535.4</v>
      </c>
      <c r="J77" s="1066">
        <f t="shared" si="6"/>
        <v>0</v>
      </c>
      <c r="K77" s="1063">
        <f t="shared" si="6"/>
        <v>0</v>
      </c>
      <c r="L77" s="1066">
        <f t="shared" si="6"/>
        <v>58</v>
      </c>
      <c r="M77" s="1063">
        <f t="shared" si="6"/>
        <v>12673.000000000002</v>
      </c>
      <c r="N77" s="1066">
        <f t="shared" si="6"/>
        <v>0</v>
      </c>
      <c r="O77" s="1063">
        <f t="shared" si="6"/>
        <v>0</v>
      </c>
      <c r="P77" s="1066">
        <f t="shared" si="6"/>
        <v>15</v>
      </c>
      <c r="Q77" s="1063">
        <f t="shared" si="6"/>
        <v>2784.7999999999997</v>
      </c>
      <c r="R77" s="1064">
        <f t="shared" si="4"/>
        <v>222</v>
      </c>
      <c r="S77" s="1065">
        <f t="shared" si="5"/>
        <v>40157.9</v>
      </c>
    </row>
    <row r="78" ht="21.75">
      <c r="A78" s="54" t="s">
        <v>614</v>
      </c>
    </row>
    <row r="79" ht="21.75">
      <c r="A79" s="54"/>
    </row>
    <row r="80" ht="21.75">
      <c r="A80" s="54"/>
    </row>
    <row r="81" ht="21.75">
      <c r="A81" s="54"/>
    </row>
    <row r="82" ht="21.75">
      <c r="A82" s="54"/>
    </row>
    <row r="83" ht="21.75">
      <c r="A83" s="54"/>
    </row>
    <row r="84" ht="21.75">
      <c r="A84" s="54"/>
    </row>
    <row r="85" ht="21.75">
      <c r="A85" s="54"/>
    </row>
    <row r="86" ht="21.75">
      <c r="A86" s="54"/>
    </row>
    <row r="87" ht="21.75">
      <c r="A87" s="54"/>
    </row>
    <row r="88" ht="21.75">
      <c r="A88" s="54"/>
    </row>
    <row r="89" ht="21.75">
      <c r="A89" s="54"/>
    </row>
    <row r="90" ht="21.75">
      <c r="A90" s="54"/>
    </row>
    <row r="91" ht="21.75">
      <c r="A91" s="54"/>
    </row>
    <row r="92" ht="21.75">
      <c r="A92" s="54"/>
    </row>
    <row r="93" ht="21.75">
      <c r="A93" s="54"/>
    </row>
    <row r="94" ht="21.75">
      <c r="A94" s="54"/>
    </row>
    <row r="95" ht="21.75">
      <c r="A95" s="61"/>
    </row>
    <row r="96" ht="21.75">
      <c r="A96" s="61"/>
    </row>
    <row r="97" ht="21.75">
      <c r="A97" s="61"/>
    </row>
    <row r="98" ht="21.75">
      <c r="A98" s="61"/>
    </row>
    <row r="99" ht="21.75">
      <c r="A99" s="61"/>
    </row>
    <row r="100" ht="21.75">
      <c r="A100" s="61"/>
    </row>
    <row r="101" ht="21.75">
      <c r="A101" s="61"/>
    </row>
    <row r="102" ht="21.75">
      <c r="A102" s="61"/>
    </row>
    <row r="103" ht="21.75">
      <c r="A103" s="61"/>
    </row>
    <row r="104" ht="21.75">
      <c r="A104" s="61"/>
    </row>
    <row r="105" ht="21.75">
      <c r="A105" s="61"/>
    </row>
    <row r="106" ht="21.75">
      <c r="A106" s="61"/>
    </row>
    <row r="107" ht="21.75">
      <c r="A107" s="61"/>
    </row>
    <row r="108" ht="21.75">
      <c r="A108" s="61"/>
    </row>
    <row r="109" ht="21.75">
      <c r="A109" s="61"/>
    </row>
    <row r="110" ht="21.75">
      <c r="A110" s="61"/>
    </row>
    <row r="111" ht="21.75">
      <c r="A111" s="61"/>
    </row>
    <row r="112" ht="21.75">
      <c r="A112" s="61"/>
    </row>
    <row r="113" ht="21.75">
      <c r="A113" s="61"/>
    </row>
    <row r="114" ht="21.75">
      <c r="A114" s="61"/>
    </row>
    <row r="115" ht="21.75">
      <c r="A115" s="61"/>
    </row>
    <row r="116" ht="21.75">
      <c r="A116" s="61"/>
    </row>
    <row r="117" ht="21.75">
      <c r="A117" s="61"/>
    </row>
    <row r="118" ht="21.75">
      <c r="A118" s="61"/>
    </row>
    <row r="119" ht="21.75">
      <c r="A119" s="61"/>
    </row>
    <row r="120" ht="21.75">
      <c r="A120" s="61"/>
    </row>
    <row r="121" ht="21.75">
      <c r="A121" s="61"/>
    </row>
    <row r="122" ht="21.75">
      <c r="A122" s="61"/>
    </row>
    <row r="123" ht="21.75">
      <c r="A123" s="61"/>
    </row>
    <row r="124" ht="21.75">
      <c r="A124" s="61"/>
    </row>
    <row r="125" ht="21.75">
      <c r="A125" s="61"/>
    </row>
    <row r="126" ht="21.75">
      <c r="A126" s="61"/>
    </row>
    <row r="127" ht="21.75">
      <c r="A127" s="61"/>
    </row>
    <row r="128" ht="21.75">
      <c r="A128" s="61"/>
    </row>
    <row r="129" ht="21.75">
      <c r="A129" s="61"/>
    </row>
    <row r="130" ht="21.75">
      <c r="A130" s="61"/>
    </row>
    <row r="131" ht="21.75">
      <c r="A131" s="61"/>
    </row>
    <row r="132" ht="21.75">
      <c r="A132" s="61"/>
    </row>
    <row r="133" ht="21.75">
      <c r="A133" s="61"/>
    </row>
    <row r="134" ht="21.75">
      <c r="A134" s="61"/>
    </row>
    <row r="135" ht="21.75">
      <c r="A135" s="61"/>
    </row>
    <row r="136" ht="21.75">
      <c r="A136" s="61"/>
    </row>
    <row r="137" ht="21.75">
      <c r="A137" s="61"/>
    </row>
    <row r="138" ht="21.75">
      <c r="A138" s="61"/>
    </row>
    <row r="139" ht="21.75">
      <c r="A139" s="61"/>
    </row>
    <row r="140" ht="21.75">
      <c r="A140" s="61"/>
    </row>
    <row r="141" ht="21.75">
      <c r="A141" s="61"/>
    </row>
    <row r="142" ht="21.75">
      <c r="A142" s="61"/>
    </row>
    <row r="143" ht="21.75">
      <c r="A143" s="61"/>
    </row>
    <row r="437" ht="21.75">
      <c r="C437" s="233" t="s">
        <v>279</v>
      </c>
    </row>
  </sheetData>
  <sheetProtection/>
  <mergeCells count="10">
    <mergeCell ref="A2:A3"/>
    <mergeCell ref="B2:C2"/>
    <mergeCell ref="D2:E2"/>
    <mergeCell ref="R2:S2"/>
    <mergeCell ref="N2:O2"/>
    <mergeCell ref="P2:Q2"/>
    <mergeCell ref="F2:G2"/>
    <mergeCell ref="H2:I2"/>
    <mergeCell ref="L2:M2"/>
    <mergeCell ref="J2:K2"/>
  </mergeCells>
  <printOptions horizontalCentered="1"/>
  <pageMargins left="0" right="0" top="0" bottom="0.05" header="0.39" footer="0.4"/>
  <pageSetup horizontalDpi="600" verticalDpi="600" orientation="landscape" paperSize="9" scale="95" r:id="rId1"/>
  <rowBreaks count="3" manualBreakCount="3">
    <brk id="24" max="18" man="1"/>
    <brk id="42" max="18" man="1"/>
    <brk id="6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u_sar</dc:creator>
  <cp:keywords/>
  <dc:description/>
  <cp:lastModifiedBy>DELL</cp:lastModifiedBy>
  <cp:lastPrinted>2017-07-17T04:15:01Z</cp:lastPrinted>
  <dcterms:created xsi:type="dcterms:W3CDTF">2007-10-09T07:28:46Z</dcterms:created>
  <dcterms:modified xsi:type="dcterms:W3CDTF">2017-08-08T07:14:09Z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