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811" yWindow="840" windowWidth="14865" windowHeight="7080" tabRatio="934" activeTab="14"/>
  </bookViews>
  <sheets>
    <sheet name="ApI" sheetId="1" r:id="rId1"/>
    <sheet name="AnII" sheetId="2" r:id="rId2"/>
    <sheet name="ApIII" sheetId="3" r:id="rId3"/>
    <sheet name="ApIV" sheetId="4" r:id="rId4"/>
    <sheet name="ApV" sheetId="5" r:id="rId5"/>
    <sheet name="AnVI" sheetId="6" r:id="rId6"/>
    <sheet name="ApVII" sheetId="7" r:id="rId7"/>
    <sheet name="ApVIII" sheetId="8" r:id="rId8"/>
    <sheet name="ApIX" sheetId="9" r:id="rId9"/>
    <sheet name="ApX" sheetId="10" r:id="rId10"/>
    <sheet name="AnXI" sheetId="11" r:id="rId11"/>
    <sheet name="ApXII" sheetId="12" r:id="rId12"/>
    <sheet name="ApXIII" sheetId="13" r:id="rId13"/>
    <sheet name="Framework" sheetId="14" r:id="rId14"/>
    <sheet name="ApXIV" sheetId="15" r:id="rId15"/>
  </sheets>
  <definedNames>
    <definedName name="country">#REF!</definedName>
    <definedName name="_xlnm.Print_Area" localSheetId="5">'AnVI'!$A$1:$K$7</definedName>
    <definedName name="_xlnm.Print_Area" localSheetId="10">'AnXI'!$A$3:$F$24</definedName>
    <definedName name="_xlnm.Print_Area" localSheetId="0">'ApI'!$A$4:$O$98</definedName>
    <definedName name="_xlnm.Print_Area" localSheetId="2">'ApIII'!$A$1:$S$67</definedName>
    <definedName name="_xlnm.Print_Area" localSheetId="3">'ApIV'!$A$1:$AO$65</definedName>
    <definedName name="_xlnm.Print_Area" localSheetId="8">'ApIX'!$A$1:$K$23</definedName>
    <definedName name="_xlnm.Print_Area" localSheetId="6">'ApVII'!$A$1:$Y$31</definedName>
    <definedName name="_xlnm.Print_Area" localSheetId="7">'ApVIII'!$A$1:$S$10</definedName>
    <definedName name="_xlnm.Print_Area" localSheetId="9">'ApX'!$A$4:$S$70</definedName>
    <definedName name="_xlnm.Print_Area" localSheetId="11">'ApXII'!$A$1:$U$37</definedName>
    <definedName name="_xlnm.Print_Area" localSheetId="12">'ApXIII'!$A$4:$N$53</definedName>
    <definedName name="_xlnm.Print_Area" localSheetId="14">'ApXIV'!$A$1:$AG$57</definedName>
    <definedName name="_xlnm.Print_Area" localSheetId="13">'Framework'!$A$4:$N$50</definedName>
    <definedName name="_xlnm.Print_Titles" localSheetId="1">'AnII'!$A:$A,'AnII'!$1:$2</definedName>
    <definedName name="_xlnm.Print_Titles" localSheetId="10">'AnXI'!$1:$2</definedName>
    <definedName name="_xlnm.Print_Titles" localSheetId="0">'ApI'!$1:$3</definedName>
    <definedName name="_xlnm.Print_Titles" localSheetId="2">'ApIII'!$1:$4</definedName>
    <definedName name="_xlnm.Print_Titles" localSheetId="3">'ApIV'!$A:$A,'ApIV'!$2:$3</definedName>
    <definedName name="_xlnm.Print_Titles" localSheetId="8">'ApIX'!$3:$4</definedName>
    <definedName name="_xlnm.Print_Titles" localSheetId="4">'ApV'!$1:$3</definedName>
    <definedName name="_xlnm.Print_Titles" localSheetId="6">'ApVII'!$1:$3</definedName>
    <definedName name="_xlnm.Print_Titles" localSheetId="9">'ApX'!$1:$3</definedName>
    <definedName name="_xlnm.Print_Titles" localSheetId="11">'ApXII'!$A:$A,'ApXII'!$1:$3</definedName>
    <definedName name="_xlnm.Print_Titles" localSheetId="12">'ApXIII'!$1:$3</definedName>
    <definedName name="_xlnm.Print_Titles" localSheetId="14">'ApXIV'!$1:$1</definedName>
    <definedName name="_xlnm.Print_Titles" localSheetId="13">'Framework'!$1:$3</definedName>
  </definedNames>
  <calcPr fullCalcOnLoad="1"/>
</workbook>
</file>

<file path=xl/sharedStrings.xml><?xml version="1.0" encoding="utf-8"?>
<sst xmlns="http://schemas.openxmlformats.org/spreadsheetml/2006/main" count="2379" uniqueCount="557">
  <si>
    <t>(No. : Persons, Value : '000 Baht)</t>
  </si>
  <si>
    <t>Country</t>
  </si>
  <si>
    <t xml:space="preserve">   - Cambodia</t>
  </si>
  <si>
    <t>-</t>
  </si>
  <si>
    <t xml:space="preserve">   - Lao PDR</t>
  </si>
  <si>
    <t xml:space="preserve">   - Myanmar</t>
  </si>
  <si>
    <t xml:space="preserve">   - Vietnam</t>
  </si>
  <si>
    <t xml:space="preserve">   - Indonesia</t>
  </si>
  <si>
    <t xml:space="preserve">   - Malaysia</t>
  </si>
  <si>
    <t xml:space="preserve">   - Philippines</t>
  </si>
  <si>
    <t xml:space="preserve">   - Timor Leste</t>
  </si>
  <si>
    <t xml:space="preserve">   - China</t>
  </si>
  <si>
    <t xml:space="preserve">   - Mongolia</t>
  </si>
  <si>
    <t xml:space="preserve">   - Afghanistan</t>
  </si>
  <si>
    <t xml:space="preserve">   - Bangladesh</t>
  </si>
  <si>
    <t xml:space="preserve">   - Bhutan</t>
  </si>
  <si>
    <t xml:space="preserve">   - India</t>
  </si>
  <si>
    <t xml:space="preserve">   - Iran</t>
  </si>
  <si>
    <t xml:space="preserve">   - Jordan</t>
  </si>
  <si>
    <t xml:space="preserve">   - Maldives</t>
  </si>
  <si>
    <t xml:space="preserve">   - Nepal</t>
  </si>
  <si>
    <t xml:space="preserve">   - Pakistan</t>
  </si>
  <si>
    <t xml:space="preserve">   - Sri Lanka</t>
  </si>
  <si>
    <t xml:space="preserve">   - Tajikistan</t>
  </si>
  <si>
    <t xml:space="preserve">   - Uzbekistan</t>
  </si>
  <si>
    <t xml:space="preserve">   - Bukina Faso</t>
  </si>
  <si>
    <t xml:space="preserve">   - Burundi</t>
  </si>
  <si>
    <t xml:space="preserve">   - Egypt</t>
  </si>
  <si>
    <t xml:space="preserve">   - Gambia</t>
  </si>
  <si>
    <t xml:space="preserve">   - Kenya</t>
  </si>
  <si>
    <t xml:space="preserve">   - Madagascar</t>
  </si>
  <si>
    <t xml:space="preserve">   - Malawi</t>
  </si>
  <si>
    <t xml:space="preserve">   - Mauritius</t>
  </si>
  <si>
    <t xml:space="preserve">   - Morocco</t>
  </si>
  <si>
    <t xml:space="preserve">   - Mozambique</t>
  </si>
  <si>
    <t xml:space="preserve">   - Namibia</t>
  </si>
  <si>
    <t xml:space="preserve">   - Nigeria</t>
  </si>
  <si>
    <t xml:space="preserve">   - Senegal</t>
  </si>
  <si>
    <t xml:space="preserve">   - Sudan</t>
  </si>
  <si>
    <t xml:space="preserve">   - Tanzania</t>
  </si>
  <si>
    <t xml:space="preserve">   - Uganda</t>
  </si>
  <si>
    <t xml:space="preserve">   - Zambia</t>
  </si>
  <si>
    <t xml:space="preserve">   - Chile</t>
  </si>
  <si>
    <t xml:space="preserve">   - Colombia</t>
  </si>
  <si>
    <t xml:space="preserve">   - Ecuador</t>
  </si>
  <si>
    <t xml:space="preserve">   - Mexico</t>
  </si>
  <si>
    <t xml:space="preserve">   - Peru</t>
  </si>
  <si>
    <t xml:space="preserve">   - Trinidad and Tobago</t>
  </si>
  <si>
    <t>Others</t>
  </si>
  <si>
    <t>TOTAL</t>
  </si>
  <si>
    <t>Agriculture</t>
  </si>
  <si>
    <t>Communications</t>
  </si>
  <si>
    <t>Education</t>
  </si>
  <si>
    <t>Information Technology</t>
  </si>
  <si>
    <t>Infrastructure &amp; Public Utilities</t>
  </si>
  <si>
    <t>Labour &amp; Employment</t>
  </si>
  <si>
    <t>Natural Resources &amp; Environment</t>
  </si>
  <si>
    <t>Public Administration</t>
  </si>
  <si>
    <t>Public Health</t>
  </si>
  <si>
    <t>Science &amp; Technology</t>
  </si>
  <si>
    <t>Social Development &amp; Welfare</t>
  </si>
  <si>
    <t>Tourism</t>
  </si>
  <si>
    <t>Transport</t>
  </si>
  <si>
    <t>Economics</t>
  </si>
  <si>
    <t>Energy</t>
  </si>
  <si>
    <t xml:space="preserve">    - Cambodia</t>
  </si>
  <si>
    <t xml:space="preserve">    - Lao PDR</t>
  </si>
  <si>
    <t xml:space="preserve">    - Myanmar</t>
  </si>
  <si>
    <t xml:space="preserve">    - Vietnam</t>
  </si>
  <si>
    <t xml:space="preserve">    - Mongolia</t>
  </si>
  <si>
    <t xml:space="preserve">    - Timor Leste</t>
  </si>
  <si>
    <t>Trade, Services &amp; Investment</t>
  </si>
  <si>
    <t xml:space="preserve">    - Bhutan</t>
  </si>
  <si>
    <t xml:space="preserve">    - China</t>
  </si>
  <si>
    <t xml:space="preserve">    - Indonesia</t>
  </si>
  <si>
    <t xml:space="preserve">    - Philippines</t>
  </si>
  <si>
    <t xml:space="preserve">    - Afghanistan</t>
  </si>
  <si>
    <t xml:space="preserve">    - Bangladesh</t>
  </si>
  <si>
    <t xml:space="preserve">    - Nepal</t>
  </si>
  <si>
    <t xml:space="preserve">    - Sri Lanka</t>
  </si>
  <si>
    <t>Cambodia</t>
  </si>
  <si>
    <t xml:space="preserve"> - Special Project</t>
  </si>
  <si>
    <t xml:space="preserve"> - Development Project</t>
  </si>
  <si>
    <t>Lao PDR</t>
  </si>
  <si>
    <t xml:space="preserve">   - Public Health</t>
  </si>
  <si>
    <t xml:space="preserve">   - Agriculture</t>
  </si>
  <si>
    <t xml:space="preserve">  - Development Project</t>
  </si>
  <si>
    <t>Vietnam</t>
  </si>
  <si>
    <t xml:space="preserve">   - Education</t>
  </si>
  <si>
    <t>The Teaching Thai Language at the University of Danang</t>
  </si>
  <si>
    <t>Economic</t>
  </si>
  <si>
    <t>Natural Resources and Environment</t>
  </si>
  <si>
    <t xml:space="preserve"> </t>
  </si>
  <si>
    <t xml:space="preserve">   - Thai to China</t>
  </si>
  <si>
    <t xml:space="preserve">    - Malaysia</t>
  </si>
  <si>
    <t xml:space="preserve">    - India</t>
  </si>
  <si>
    <t xml:space="preserve">    - Iran</t>
  </si>
  <si>
    <t xml:space="preserve">    - Jordan</t>
  </si>
  <si>
    <t xml:space="preserve">    - Maldives</t>
  </si>
  <si>
    <t xml:space="preserve">    - Pakistan</t>
  </si>
  <si>
    <t xml:space="preserve">    - Egypt</t>
  </si>
  <si>
    <t xml:space="preserve">    - Kenya</t>
  </si>
  <si>
    <t xml:space="preserve">    - Madagascar</t>
  </si>
  <si>
    <t xml:space="preserve">    - Senegal</t>
  </si>
  <si>
    <t xml:space="preserve">    - Sudan</t>
  </si>
  <si>
    <t xml:space="preserve">    - Uganda</t>
  </si>
  <si>
    <t>JICA</t>
  </si>
  <si>
    <t>UNFPA</t>
  </si>
  <si>
    <t xml:space="preserve">    - Tanzania</t>
  </si>
  <si>
    <t xml:space="preserve">      (No. : Person, Value : '000 Baht)</t>
  </si>
  <si>
    <t xml:space="preserve">   - Fiji</t>
  </si>
  <si>
    <t>Industry</t>
  </si>
  <si>
    <t xml:space="preserve">    - Fiji</t>
  </si>
  <si>
    <t xml:space="preserve">   - Lesotho</t>
  </si>
  <si>
    <t>France</t>
  </si>
  <si>
    <t>Justice</t>
  </si>
  <si>
    <t xml:space="preserve">   - Uruguay</t>
  </si>
  <si>
    <t xml:space="preserve">  - Education</t>
  </si>
  <si>
    <t xml:space="preserve">  - Public Health</t>
  </si>
  <si>
    <t xml:space="preserve">  - Agriculture</t>
  </si>
  <si>
    <t>Savannakhet Technical School Development Project</t>
  </si>
  <si>
    <t xml:space="preserve">    - Morocco</t>
  </si>
  <si>
    <t xml:space="preserve">    - Solomon Islands</t>
  </si>
  <si>
    <t xml:space="preserve">    - Botswana</t>
  </si>
  <si>
    <t xml:space="preserve">   - Swaziland</t>
  </si>
  <si>
    <t>Communication</t>
  </si>
  <si>
    <t>Senegal</t>
  </si>
  <si>
    <t>Myanmar</t>
  </si>
  <si>
    <t>Bhutan</t>
  </si>
  <si>
    <t xml:space="preserve">   - Solomon Islands</t>
  </si>
  <si>
    <t xml:space="preserve">   - Botswana</t>
  </si>
  <si>
    <t xml:space="preserve">   - Rwanda</t>
  </si>
  <si>
    <t>Science and Technology</t>
  </si>
  <si>
    <t>The Teaching Thai Language at the College of Foreign Languages, VNU, Hanoi</t>
  </si>
  <si>
    <t>Prevention of Animal Diseases in Champasack Province</t>
  </si>
  <si>
    <t xml:space="preserve">   - Venezuela</t>
  </si>
  <si>
    <t xml:space="preserve">   - Argentina</t>
  </si>
  <si>
    <t>ACMECS</t>
  </si>
  <si>
    <t>GMS</t>
  </si>
  <si>
    <t>BIMSTEC</t>
  </si>
  <si>
    <t xml:space="preserve">Energy </t>
  </si>
  <si>
    <t>โครงการพัฒนาหลักสูตรนานาชาติระดับปริญญาโท สาขาการศึกษาทางด้านการพัฒนาของมหาวิทยาลัยแห่งชาติลาว</t>
  </si>
  <si>
    <t>Information &amp; Technology</t>
  </si>
  <si>
    <t>The Project on Training Program in Technology of Medicine &amp; Public Health Personnel from Lao PDR initiated by HRH Princess Maha Chakri Sirindhorn Phrase II</t>
  </si>
  <si>
    <t>Curriculum Development in Teaching Thai Language at Yangon University of Foreign Language</t>
  </si>
  <si>
    <t xml:space="preserve">   - Brunei</t>
  </si>
  <si>
    <t xml:space="preserve">     - Botswana</t>
  </si>
  <si>
    <t xml:space="preserve">   - Costa Rica</t>
  </si>
  <si>
    <t xml:space="preserve">   - Panama</t>
  </si>
  <si>
    <t>Capacity Building for the Meteorology and Hydrology, Early Warning System and Rehabilitation on the Cyclone Nargis Affected Areas</t>
  </si>
  <si>
    <t xml:space="preserve">    - Chile</t>
  </si>
  <si>
    <t>Sufficiency Economy</t>
  </si>
  <si>
    <t>Grassroots Economic Development followed Sufficiency Economy Philosophy</t>
  </si>
  <si>
    <t>GTZ</t>
  </si>
  <si>
    <t>Social Development and Welfare</t>
  </si>
  <si>
    <t xml:space="preserve">    - Zambia</t>
  </si>
  <si>
    <t>โครงการพัฒนาศักยภาพในด้านการเกษตรของมหาวิทยาลัยจำปาสัก</t>
  </si>
  <si>
    <t>โครงการพัฒนาบุคลากรคณะเกษตรนาบง มหาวิทยาลัยแห่งชาติลาว</t>
  </si>
  <si>
    <t>Studies on the Preparation and Properties of Novel Scintillating Glasses Prepared by High Silica Porous Glass</t>
  </si>
  <si>
    <t xml:space="preserve">Research on the Application of 3D Simulation Technology for Metal Plastic Forming </t>
  </si>
  <si>
    <t>Timor Leste</t>
  </si>
  <si>
    <t>โครงการความร่วมมือกับติมอร์ - เลสเต ด้านการเกษตร-ประมง  (3ปี)</t>
  </si>
  <si>
    <t>School under Her Royal Highness Princess Maha Chakri Sirindhorn Sponsorship to Contribute to Education for the Kingdom of Cambodia</t>
  </si>
  <si>
    <t xml:space="preserve">  - Social Development &amp; Welfare</t>
  </si>
  <si>
    <t xml:space="preserve">   - Brazil</t>
  </si>
  <si>
    <t xml:space="preserve">   - El Salvador</t>
  </si>
  <si>
    <t xml:space="preserve">   - Kyrgyzstan</t>
  </si>
  <si>
    <t xml:space="preserve">   - Paraguay</t>
  </si>
  <si>
    <t xml:space="preserve">   - Zimbabwe</t>
  </si>
  <si>
    <t xml:space="preserve">     - Namibia</t>
  </si>
  <si>
    <t>Indonesia</t>
  </si>
  <si>
    <t>Appropriate Technology and Local Wisdom in Agricultural Waste Recycling</t>
  </si>
  <si>
    <t>Sustainable Agriculture and Food Security</t>
  </si>
  <si>
    <t xml:space="preserve"> -  Social Development &amp; Welfare</t>
  </si>
  <si>
    <t>โครงการพัฒนาศักยภาพด้านการบำบัดรักษาและฟื้นฟูสมรรถภาพผู้ติดยาเสพติด</t>
  </si>
  <si>
    <t xml:space="preserve">โครงการส่งเสริมการปลูกข้าวโพดหวานและถั่วลิสง เพื่อผลิตเป็นสินค้าในแขวงเวียงจันทร์ </t>
  </si>
  <si>
    <t>Strengthening the National Capacity for the Production of Foot and Mouth Disease Vaccine</t>
  </si>
  <si>
    <t>Collaboration Research and Development Project on Technology of Bioactive Compounds of Agricultural Industry Products</t>
  </si>
  <si>
    <t xml:space="preserve">Hybrid Maize Breeding and Dissemination for Drought Tolerance </t>
  </si>
  <si>
    <t>Immunostimulants Selected from Chinese and Thai Medicinal Herbs and Their Functional Mechanism in Grouper , Hainan Universitty</t>
  </si>
  <si>
    <t>Collaboration Project of Camellia Oil Tea Development in Thailand and China</t>
  </si>
  <si>
    <t xml:space="preserve">Research and Development on Vegetable Heterosis Application </t>
  </si>
  <si>
    <t>Selective Isolation and Prephamaceutical Research on Novel and Rare Actinomycetes from Tropical Marine and Terrestrial Habitats</t>
  </si>
  <si>
    <t>Studies on the Correlation between the Nanocomplex / Nanoparticles Structure and Intestinal Absorption of Macromolecules</t>
  </si>
  <si>
    <t>Ethanol Production from Palm Oil Mill Residues</t>
  </si>
  <si>
    <t>Maldives</t>
  </si>
  <si>
    <t>Burundi</t>
  </si>
  <si>
    <t>โครงการจัดตั้งโรงงานทำขาเทียมให้กับบุรุนดี</t>
  </si>
  <si>
    <t>Food Security - Postharvest, Processing and Quality Assurance of Selected Agro - Industrial Products</t>
  </si>
  <si>
    <t>Climate Change Adaptation</t>
  </si>
  <si>
    <t>Community Health Management and Community Empowerment towards Healthy Community</t>
  </si>
  <si>
    <t>District Health System Strengthening</t>
  </si>
  <si>
    <t>Early Childhood Health Care Management</t>
  </si>
  <si>
    <t>Thailand Food and Nutrition Security</t>
  </si>
  <si>
    <t xml:space="preserve">    - Argentina</t>
  </si>
  <si>
    <t xml:space="preserve">   - Cook Islands</t>
  </si>
  <si>
    <t xml:space="preserve">    - Cook Islands</t>
  </si>
  <si>
    <t xml:space="preserve">   - Ethiopia</t>
  </si>
  <si>
    <t xml:space="preserve">   - Palau</t>
  </si>
  <si>
    <t>โครงการพัฒนาคณะพยาบาลศาสตร์ มหาวิทยาลัยวิทยาศาสตร์ สุขภาพ</t>
  </si>
  <si>
    <t>โครงการพัฒนาหลักสูตรการสอนภาษาไทย ณ ม. พนมเปญ</t>
  </si>
  <si>
    <t>IAI</t>
  </si>
  <si>
    <t>โครงการจัดตั้งโรงงานผลิตขาเทียม</t>
  </si>
  <si>
    <t>โครงการความร่วมมือในการพัฒนาคุณภาพชีวิตเด็กและเยาวชนในกลุ่มประเทศเอเซียแปซิฟิก ตามพระราชดำริสมเด็จพระเทพฯ</t>
  </si>
  <si>
    <t xml:space="preserve">     - Argentina</t>
  </si>
  <si>
    <t xml:space="preserve">     - Brazil</t>
  </si>
  <si>
    <t xml:space="preserve">     - Chile</t>
  </si>
  <si>
    <t xml:space="preserve">     - El Salvador</t>
  </si>
  <si>
    <t xml:space="preserve">     - Israel</t>
  </si>
  <si>
    <t xml:space="preserve">     -  Kenya</t>
  </si>
  <si>
    <t xml:space="preserve">     -  Lesotho</t>
  </si>
  <si>
    <t xml:space="preserve">     -  Madagascar</t>
  </si>
  <si>
    <t xml:space="preserve">     - Mexico</t>
  </si>
  <si>
    <t xml:space="preserve">     -  Mozambique</t>
  </si>
  <si>
    <t xml:space="preserve">     -  Peru</t>
  </si>
  <si>
    <t xml:space="preserve">     - Senegal</t>
  </si>
  <si>
    <t xml:space="preserve">     - Sudan</t>
  </si>
  <si>
    <t xml:space="preserve">     - Swaziland</t>
  </si>
  <si>
    <t xml:space="preserve">     - Tajikistan</t>
  </si>
  <si>
    <t xml:space="preserve">     - Trinidad and Tobago</t>
  </si>
  <si>
    <t xml:space="preserve">     - Uruguay</t>
  </si>
  <si>
    <t xml:space="preserve">     - Venezuela</t>
  </si>
  <si>
    <t xml:space="preserve">    - Seychelles</t>
  </si>
  <si>
    <t>CPS</t>
  </si>
  <si>
    <t>CSEP</t>
  </si>
  <si>
    <t xml:space="preserve">Public Administration </t>
  </si>
  <si>
    <t xml:space="preserve">   - Belize</t>
  </si>
  <si>
    <t xml:space="preserve">   - Israel</t>
  </si>
  <si>
    <t xml:space="preserve">   - Mali</t>
  </si>
  <si>
    <t xml:space="preserve">   - Seychelles</t>
  </si>
  <si>
    <t xml:space="preserve">   - Guatemala</t>
  </si>
  <si>
    <t xml:space="preserve">    - Nigeria</t>
  </si>
  <si>
    <t>Development of Achangyizhi Pill for Vascular Dementia with the traditional Thai and Chinese Medicine Plants</t>
  </si>
  <si>
    <t>Species and Cultivation Technology Exchange of Pterocarpus Trees</t>
  </si>
  <si>
    <t>Studying of Silkworm Races Resistance Improving by Molecular Methods</t>
  </si>
  <si>
    <t>Studying Visit to Power Projects Using Wind Energy</t>
  </si>
  <si>
    <t>Development of Health Products from Potential Thai and Chinese Medicine Plants</t>
  </si>
  <si>
    <t>Investigation on Physiological and Molecular mechanisms of Drought Heat Tolerant</t>
  </si>
  <si>
    <t xml:space="preserve">The Exchange of Control Techniques for Forest Plantation Pests between China and Thailand </t>
  </si>
  <si>
    <t>Afghanistan (1), Egypt (1), Jordan (1), Kenya (1), Madagascar (2), Maldives (1), Mongolia (1), Myanmar (2), Nepal (2), Pakistan (1), Saint Vincent (2), Sri Lanka (2), Thailand (2)</t>
  </si>
  <si>
    <t xml:space="preserve">Local Wisdom and Thailand Agricultural Studies Center for Development </t>
  </si>
  <si>
    <t>Burundi (1), Cambodia (1), Chile (1), China (1), Jordan (1), Laos (1), Madagascar (1), Maldives (1), Mongolia (1), Myanmar (1), Nepal (1), Nigeria (1), Pakistan (1), Panama (1), Paraguay (1), Sri Lanka (1), Suriname (1), Thailand (2)</t>
  </si>
  <si>
    <t>Sufficiency Economy in Agriculture</t>
  </si>
  <si>
    <t>Egypt (1), El Salvador (1), Eritrea (1), Fiji (1), Jordan (2), Kenya (1), Madagascar (2), Mongolia (1), Myanmar (2), Pakistan (2), Philippines (1), Sri Lanka (2), Sudan (2), Thailand (3)</t>
  </si>
  <si>
    <t>Bangladesh (1), Indonesia (1), Kenya (1), Madagascar (1), Mongolia (1), Myanmar (1), Nigeria (1), Seychelles (1), Sri Lanka (2), Sudan (1), Thailand (2), The Cook Islands (1), Eritrea (1), Timor Leste (1), Vanuatu (1)</t>
  </si>
  <si>
    <t xml:space="preserve">Utilizing Indigenous Food Resources for Food Security </t>
  </si>
  <si>
    <t>Bangladesh (1), Cambodia (1), China (1), Costa Rica (1), Egypt (1), Fiji (1), Kenya (1), Namibia (1), Nepal (1), Nigeria (1), Philippines (1), Senegal (1), Sri Lanka (1), Sudan (1), Thailand (2), Timor Leste (1)</t>
  </si>
  <si>
    <t>International Conference on Energy and Environment Sector Cooperation among GMS Countries Phase III</t>
  </si>
  <si>
    <t>Cambodia (4), China (4), Laos (4), Myanmar (2), Thailand (2),  Vietnam (4)</t>
  </si>
  <si>
    <t>Bangladesh (1), Botswana (3), Cambodia (1), Chile (1), Fiji (1), Kenya (4), Mongolia (1), Nepal (1), Philippines (2), Sri Lanka (3), Thailand (2)</t>
  </si>
  <si>
    <t>Afghanistan (1), Burundi (1), Colombia (1), Ecuador (1), El Salvador (1), Gabonese Republic (1), Guatemala (1), Indonesia (1), Jordan (1), Madagascar (1), Mexico (1), Peru (2), Philippines (1), Tajikistan (1), Thailand (2), Timor Leste (1), Uruguay (1)</t>
  </si>
  <si>
    <t>Waste Management for Sustainability</t>
  </si>
  <si>
    <t>Argentina (1), Bhutan (1), Burundi (1), Costa Rica (1), Ecuador (1), Egypt (1), El Salvador (1), Guatemala (1), Indonesia (1), Kenya (1), Madagascar (1), Malaysia (1), Peru (1), Philippines (1), Sri Lanka (1), Thailand (2), Uganda (1), Uruguay (1), Uzbekistan (1)</t>
  </si>
  <si>
    <t>Bhutan (1), Cambodia (1), Egypt (1), Indonesia (1), Kenya (2), Maldives (1), Morocco (1), Myanmar (1), Nepal (1), Pakistan (1), Solomon Islands (1), Sri Lanka (1), Thailand (2), Uzbekistan (2)</t>
  </si>
  <si>
    <t>Cambodia (1), Cook Islands (1), Kenya (2), Lesotho (1), Madagascar (1), Malaysia (1), Maldives (2), Mongolia (1), Myanmar (1), Nepal (1), Philippines (1), Sri Lanka (2), Thailand (2), Vanuatu (1)</t>
  </si>
  <si>
    <t>Cambodia (1), Jordan (1), Kenya (2), Madagascar (2), Malaysia (1), Mongolia (1), Morocco (1), Myanmar (2), Philippines (1), Sri Lanka (2), St. Vincent (1),Thailand (1), Zambia (2)</t>
  </si>
  <si>
    <t>Cambodia (1), Cook Islands (2), Egypt (1), Jordan (1), Kenya (2), Madagascar (1), Malaysia (1), Maldives (1), Myanmar (2), Pakistan (1), Philippines (1), Sri Lanka (2), Thailand (2), Uzbekistan (1), Vanuatu (1)</t>
  </si>
  <si>
    <t xml:space="preserve"> Cambodia (1), Cook Islands (1), Georgia (1), Kenya (2), Malaysia (1), Myanmar (1), Nepal (2), Philippines (1), Solomon Islands (2), Sri Lanka (1), Sudan (2), Tanzania (3), Timor Leste (1)</t>
  </si>
  <si>
    <t>Cambodia (1), Ecuador (1), Eritrea (1), Madagascar (1), Mongolia (1), Morocco (2), Myanmar (1), Pakistan (1), Peru (1), Philippines (1), Sri Lanka (2), Sudan (1), Tajikistan (1), Thailand (2), Timor Leste (1), Uganda (1)</t>
  </si>
  <si>
    <t xml:space="preserve">    - Burundi</t>
  </si>
  <si>
    <t xml:space="preserve">    - Namibia</t>
  </si>
  <si>
    <t xml:space="preserve">    - Eritrea</t>
  </si>
  <si>
    <t xml:space="preserve">    - Gabonese Republic</t>
  </si>
  <si>
    <t xml:space="preserve">   - Georgia</t>
  </si>
  <si>
    <t xml:space="preserve">    - Vanuatu</t>
  </si>
  <si>
    <t xml:space="preserve">   - Suriname</t>
  </si>
  <si>
    <t xml:space="preserve">   - St. Vincent and the Grenadra</t>
  </si>
  <si>
    <t>Capacity Development of the College of Natural Resources</t>
  </si>
  <si>
    <t xml:space="preserve">  - Natural Resources &amp; Environment</t>
  </si>
  <si>
    <t>การป้องกันและแก้ไขปัญหายาเสพติด</t>
  </si>
  <si>
    <t>โครงการอาสาสมัครเพื่อนไทย</t>
  </si>
  <si>
    <t xml:space="preserve">  - Public Adminisdtration</t>
  </si>
  <si>
    <t>Nepal</t>
  </si>
  <si>
    <t>โครงการความร่วมมือทวิภาคีไทย-มัลดีฟ์ ด้านการปลูกพืชไร้ดิน</t>
  </si>
  <si>
    <t>- Training on Paper Production Process and Develop of  various type of Saa Products</t>
  </si>
  <si>
    <t>- Improvement of Posaa Plantation and Harvesting and Posaa trade for PAFO</t>
  </si>
  <si>
    <t>- ศึกษาความเป็นไปได้ในการก่อตั้งโรงงานแปรรูปปอสา ณ จ. ไชยบุรี สปป ลาว</t>
  </si>
  <si>
    <t>- ผู้เชี่ยวชาญ ดร. ประทีป วงศ์บัณฑิต ไปฝึกอบรมFailure Management ให้แก่ COMFA</t>
  </si>
  <si>
    <t xml:space="preserve"> -Training on Measurement and Evaluation of the Factors for Cmponent Life time Prediction</t>
  </si>
  <si>
    <t xml:space="preserve">- Microzone Analysis and Fracture Surface Analysis on SEM-EDX for Failure Analysis </t>
  </si>
  <si>
    <t>- ดูงานภายใต้โครงการ</t>
  </si>
  <si>
    <t>- วิทยากรหลักสูตร Water Resources and Environmental Management</t>
  </si>
  <si>
    <t>- วิทยากรหลักสูตร Project Management and Technique of Public Participation Promotion and Communication</t>
  </si>
  <si>
    <t>-  ผู้เชี่ยวชาญ Collect Water Sample ans Study the Flow of Nam Xong</t>
  </si>
  <si>
    <t>- ค่าใช้จ่ายในการจัดซื้อเครื่องมือวัดคุณภาพน้ำ</t>
  </si>
  <si>
    <t>- ค่าใช้จ่ายผู้แทนไทยเข้าประชุม PSC ที่เวียดนาม</t>
  </si>
  <si>
    <t>Environment Public Health Management
Beneficiary : Cambodia, Loas, Myanmar, Vietnam</t>
  </si>
  <si>
    <t>Food Hygeine Management and Food-Borne Diseases
Beneficiary : Cambodia, Loas, Myanmar, Vietnam</t>
  </si>
  <si>
    <r>
      <t xml:space="preserve">Rural Sanitation Improvement and Hygiene Promotion in Cambodia
</t>
    </r>
    <r>
      <rPr>
        <sz val="14"/>
        <color indexed="8"/>
        <rFont val="Cordia New"/>
        <family val="2"/>
      </rPr>
      <t>Beneficiary</t>
    </r>
    <r>
      <rPr>
        <b/>
        <sz val="13.5"/>
        <color indexed="8"/>
        <rFont val="Cordia New"/>
        <family val="2"/>
      </rPr>
      <t xml:space="preserve"> : Cambodia</t>
    </r>
  </si>
  <si>
    <t>Paper Mulberry Supply Chain 
Beneficiary : Loas</t>
  </si>
  <si>
    <t>Advance Technical Service for SME in Selected Industrial Sectors of Vietnam
Beneficiary :  Vietnam</t>
  </si>
  <si>
    <t>Nam Xong Sub-River Basin Management
Beneficiary : Loas</t>
  </si>
  <si>
    <t>ค่าใช้จ่ายในการเดินทางไปหารือของฝ่ายไทยกับรัฐบาลภูฎานด้าน Making Motherhood Safer (MMS)   ณ ประเทศภูฎาน
Beneficiary : Bhutan</t>
  </si>
  <si>
    <t>- ผู้เชี่ยวชาญ ไปฝึกอบรม Management Tools</t>
  </si>
  <si>
    <t>- ผู้เชี่ยวชาญไปฝึกอบรม Life Prediction</t>
  </si>
  <si>
    <t>Integrated Water Resource Management and Climate Change Adaptation
Beneficiary : Afghanistan (2), Bangladesh (1), Fiji (1), Indonesia (1), Iran (1), Laos (2), Maldives (2), Myanmar (1), Pakistan (1), Sri Lanka (2), Thailand (1), Vietnam (2)</t>
  </si>
  <si>
    <r>
      <t>Life Cycle Assessment for Environmental Management
B</t>
    </r>
    <r>
      <rPr>
        <sz val="13.5"/>
        <color indexed="8"/>
        <rFont val="Cordia New"/>
        <family val="2"/>
      </rPr>
      <t>e</t>
    </r>
    <r>
      <rPr>
        <b/>
        <sz val="13.5"/>
        <color indexed="8"/>
        <rFont val="Cordia New"/>
        <family val="2"/>
      </rPr>
      <t>neficiary : Afghanistan (2), Bangladesh (2), Fiji (2), Iran (2), Laos (1), Malaysia (1), Philippines (1), Sri Lanka (1), Thailand (3), Vietnam (1)</t>
    </r>
  </si>
  <si>
    <t>Natural Disaster Management
Beneficiary : Bangladesh (1), Bhutan (1), Brunei (1), Fiji (2), Iran (1), Malaysia (1), Maldives (1), Pakistan (2), Philippines (1), Sri Lanka (2), Thailand (3)</t>
  </si>
  <si>
    <t>Agriculture Sector Value Chain Analysis and Promotion
Beneficiary : Cambodia (6), Laos (7), Myanmar (7), Vietnam (6)</t>
  </si>
  <si>
    <t>Health and Geographic Information and ManagementSustainable Development and Environmental Management
Beneficiary : Cambodia (3), Myanmar (2), Philippines (2), Thailand (1), Timor -Leste (2)</t>
  </si>
  <si>
    <t>Leadership Enhancement for Asian Safety Food
Beneficiary : Loas (1), Myanmar (2), Philippines (2), Thailand (2)</t>
  </si>
  <si>
    <t>Life Cycle Thinking : Tool and its Applications
Beneficiary : Cambodia (3), Myanmar (2), Thailand (2)</t>
  </si>
  <si>
    <t>The Joint Fellowship Programme for Doctoral Students under the Royal Golden Jubilee Programme/ Biomedical Science
Beneficiary : Vietnam (0)</t>
  </si>
  <si>
    <t>The Joint Fellowship Programme for Doctoral Students under the Royal Golden Jubilee Programme/ Biotechnology
Beneficiary : Myanmar (0)</t>
  </si>
  <si>
    <t>The Joint Fellowship Programme for Doctoral Students under the Royal Golden Jubilee Programme/ Inorganic Chemistry
Beneficiary : Myanmar (0)</t>
  </si>
  <si>
    <t>The Joint Fellowship Programme for Doctoral Students under the Royal Golden Jubilee Programme/ Tropical Agriculture / Agronomy
Beneficiary : Myanmar (0)</t>
  </si>
  <si>
    <t>- Workshop on Mid-term Review on Paper Mulberry Supply Chain Project</t>
  </si>
  <si>
    <t>Capacity Building Workshop on the Return, Repatriation and Reintegration of Trafficked Persons in Cambodia, Loas, Myanmar and Vietnam</t>
  </si>
  <si>
    <t>Malaria Prevention and Control for Africa
Beneficiary : Burkina Faso (2), Coted' Ivoire (2), Guinea (2), Kenya (2), Mozambique (4), Senagal (3)</t>
  </si>
  <si>
    <t>Postharvest Technology of Perishable Crops
Beneficiary : Cambodia (4), Laos (2), Myanmar (4), Vietnam (3)</t>
  </si>
  <si>
    <t>Reforestation and Extension Techniques for Forester Phase II ครั้งที่ 1
Beneficiary : Cambodia (4), Laos (4), Myanmar (5), Vietnam (5)</t>
  </si>
  <si>
    <t>Reforestation and Extension Techniques for Forester Phase II ครั้งที่ 2
Beneficiary : Cambodia (3), Laos (5), Myanmar (5), Vietnam (2)</t>
  </si>
  <si>
    <t>Strengthening of Measurement Standards Institutes
Beneficiary : Bangladesh (2), Cambodia (1), Fiji (1), India (2), Laos (2), Malysia (3), Mongolia (1), Myanmar (2), Nepal (2), Sri Lanka (2), Vietnnam (2)</t>
  </si>
  <si>
    <t>Sustainable Road Development
Beneficiary : Bangladesh (2), Bhutan (3), Laos (4), Mongolia (2), Myanmar (4), Sri Lanka (4), Vietnnam (3)</t>
  </si>
  <si>
    <t>Training on Design, Operation and Management of Decentralized Wastewater Treatment System
Beneficiary : Cambodia (4), Laos (4), Myanmar (4), Vietnnam (1)</t>
  </si>
  <si>
    <t>แผนงานโครงการความร่วมมือมหาวิทยาลัยเชียงใหม่ กับ มหาวิทยาลัยสุพานุวง</t>
  </si>
  <si>
    <t>- โครงการพัฒนาหลักสูตรปรุงแต่งกสิกรรม (Agro- Processing) มหาวิทยาลัยสุพานุวง</t>
  </si>
  <si>
    <t>- โครงการพัฒนาบุคลากรมหาวิทยาลัยสุพานุวง</t>
  </si>
  <si>
    <t>- โครงการพัฒนาห้องสมุด มหาวิทยาลัยสุพานุวง</t>
  </si>
  <si>
    <t>โครงการพัฒนาวิทยาลัยพลศึกษา สาขาการจัดการกีฬา และการสอนกีฬา</t>
  </si>
  <si>
    <t>โครงการพัฒนาวิทยาลัยศิลปศึกษา</t>
  </si>
  <si>
    <t>โครงการพัฒนาห้องปฎิบัติการวิจัยโรคปลา</t>
  </si>
  <si>
    <t>โครงการพัฒนาโรงพยาบาลแขวงบ่อแก้ว</t>
  </si>
  <si>
    <t>โครงการตามแผนงานความร่วมมือระยะยาวด้านอาชีวศึกษา</t>
  </si>
  <si>
    <t>โครงการโรงเรียนมัธยมสมบูรณ์เมืองเวียงไชย แขวงหัวพัน</t>
  </si>
  <si>
    <t>โครงการพัฒนาห้องปฏิบัติการวิเคราะห์คุณภาพอาหารสัตว์</t>
  </si>
  <si>
    <t>โครงการความร่วมมือไทย-ลาว เพื่อพัฒนาทรัพยากรธรณีอย่างยั่งยืน</t>
  </si>
  <si>
    <t>โครงการพัฒนาหลักสูตรบริหารธุรกิจของ ม. จำปาสัก</t>
  </si>
  <si>
    <t>โครงการนำร่องการพัฒนาระบบ ICT เพื่อพัฒนาระบบฐานข้อมูลด้านการค้าอุตสาหกรรม และวิสาหกิจขนาดกลางและเล็กใน  5 แขวงของ สปป ลาว</t>
  </si>
  <si>
    <t>โครงการข้ามโขงสู่ AEC 2015</t>
  </si>
  <si>
    <t>โครงการศึกษาค้นคว้าการใช้ประโยชน์เชื้อจุลินทรีย์ในการผลิตปุ๋ยอินทรีย์และปุ๋ยชีวภาพ เพื่อปรับปรุงดิน</t>
  </si>
  <si>
    <t>Ear Surgery Mobile Services</t>
  </si>
  <si>
    <t>โครงการพัฒนาฝีมือแรงงานไทย- กัมพูชา</t>
  </si>
  <si>
    <t>โครงการอบรมเศรษฐกิจพอเพียงในประเทศกัมพูชา ปี 2555 กลุ่มเป้าหมาย 9 หมู่บ้าน</t>
  </si>
  <si>
    <t>- Workshop on Fundamental in Buffalo Raising</t>
  </si>
  <si>
    <t>- ผู้เชี่ยวชาญไทยจากกรมปศุสัตว์ ให้คำแนะนำด้านการพัฒนาศักยภาพศูนย์พัฒนาการเลี้ยงปศุสัตว์</t>
  </si>
  <si>
    <t>โครงการหมู่บ้านปศุสัตว์พัฒนาตามแนวชายแดนไทย-พม่า</t>
  </si>
  <si>
    <t>โครงการพระราชทานความช่วยเหลือแก่กัมพูชาด้านสาธารณสุข (มาเลเรีย)</t>
  </si>
  <si>
    <t>โครงการติดตามการดำเนินงานการพัฒนาคุณภาพชีวิตเด็กและเยาวชน ชุมชนกะดงกะนิฯ เมืองโบกาเลย์</t>
  </si>
  <si>
    <t>โครงการของมูลนิธิแม่ฟ้าหลวง การพัฒนาทางเลือกที่ยั่งยืน</t>
  </si>
  <si>
    <t>โครงการสร้างศูนย์กลางการผลิตผักคุณภาพ Center for Quality Vegetable Production</t>
  </si>
  <si>
    <t xml:space="preserve">Strengthening of the Research Capacity in Agriculture of ACMECS, Human Resources
</t>
  </si>
  <si>
    <r>
      <t>- Fundamental Research Methods in Agricultural Science
B</t>
    </r>
    <r>
      <rPr>
        <sz val="13.5"/>
        <color indexed="8"/>
        <rFont val="Cordia New"/>
        <family val="2"/>
      </rPr>
      <t>e</t>
    </r>
    <r>
      <rPr>
        <b/>
        <sz val="13.5"/>
        <color indexed="8"/>
        <rFont val="Cordia New"/>
        <family val="2"/>
      </rPr>
      <t>neficiary : Laos (9)</t>
    </r>
  </si>
  <si>
    <r>
      <t>- Fundamental Research Methods in Agricultural Science Module II
B</t>
    </r>
    <r>
      <rPr>
        <sz val="13.5"/>
        <color indexed="8"/>
        <rFont val="Cordia New"/>
        <family val="2"/>
      </rPr>
      <t>e</t>
    </r>
    <r>
      <rPr>
        <b/>
        <sz val="13.5"/>
        <color indexed="8"/>
        <rFont val="Cordia New"/>
        <family val="2"/>
      </rPr>
      <t>neficiary : Cambodia (2), Laos (6), Myanmar (10), Vietnam (10)</t>
    </r>
  </si>
  <si>
    <t>Knowledge and Enhancement concerning Wood Biomass Energy Resources from Fast Growing Trees 
Beneficiary : Vietnam (8)</t>
  </si>
  <si>
    <t>Seminar - Workshop on Result-Based Project Management for Trilateral Projects
Beneficiary : Laos</t>
  </si>
  <si>
    <t>Othropepic Training
Beneficiary : Myanmar (2)</t>
  </si>
  <si>
    <t>โครงการฝึกอบรมระบบเฝ้าระวังทางระบาดวิทยาในพื้นที่ชายแดน
Beneficiary : Cambodia (30), China (1), Myanmar (1), Vietnam (1)</t>
  </si>
  <si>
    <t>Identification and Inspection of Pests and Pathogens for Quarantine
Beneficiary : Cambodia (2), Myanmar (2), Vietnam (2)</t>
  </si>
  <si>
    <t>Technology Transfer in Horticuturall Production among ACMECS Member Countries
Benrficiary : Cambodia (3), Laos (3), Myanmar (3)</t>
  </si>
  <si>
    <t>The Analysis and Assessment of Land Sustainability for Economic Crops Zoning 
Beneficiary : Cambodia (3), Laos (4), Myanmar (5), Thailand (2)</t>
  </si>
  <si>
    <t>Oilseed Crops and Energy Renewable Crops Production Technology
Beneficiary : Cambodia (3), Laos (3), Thailand (5)</t>
  </si>
  <si>
    <t>Enhancement of Industrial Policy Development for ACMECS Countries
Beneficiary : Cambodia (4), Laos (4), Myanmar (3), Vietnam (3)</t>
  </si>
  <si>
    <t>Management of Industrial Estates
Beneficiary : Cambodia (2), Laos (3), Mongolia (1), Myanmar (3), Thailand (3), Vietnam (3)</t>
  </si>
  <si>
    <t>Mining Industry Management 
Beneficiary : Laos (12)</t>
  </si>
  <si>
    <t>Sustainable Road Development and Management 
Beneficiary : Laos (4), Myanmar (4), Thailand (2), Vietnam (2)</t>
  </si>
  <si>
    <t xml:space="preserve">Labour &amp; Employment </t>
  </si>
  <si>
    <t>Competency - Based Training Course
Beneficiary : Cambodia (4), Laos (4), Thailand (3)</t>
  </si>
  <si>
    <t>Training of the Trainer กรมพัฒนาฝึมือแรงงาน
Beneficiary : Cambodia (3), Laos (4), Vietnam (4)</t>
  </si>
  <si>
    <t>STIs Case Management Skills
Beneficiary : Cambodia (4), Laos (4), Thailand (3)</t>
  </si>
  <si>
    <t>Prevention of HIV and STIs through Sexual Transmission in Special Target Population Groups
Beneficiary : Cambodia (4), Laos (3), Myanmar (4), Thailand (4)</t>
  </si>
  <si>
    <t>ทีมสอบสวนโรคเคลื่อนที่เร็วเพิ่อการเฝ้าระวัง ป้องกัน และควบคุมโรคติดต่อร่วมกันระหว่าง จ. น่าน และแขวงไชยบุรี สปป. ลาว
Beneficiary : Laos (3)</t>
  </si>
  <si>
    <t>Cross-Border Management : A key to Efficient ASEAN Connectivity
Beneficiary : Cambodia (4), Laos (5), Myanmar (5), Vietnam (5)</t>
  </si>
  <si>
    <t>โครงการความร่วมมือทางวิชาการกับประเทศสมาชิกอาเซียน</t>
  </si>
  <si>
    <t>จัดศึกษาดูงานให้แก่เจ้าหน้าที่สถาบัน GIATMARA, Malaysia
Beneficiary : Malaysia (12)</t>
  </si>
  <si>
    <t xml:space="preserve">โครงการจัดตั้งโรงเพาะพันธุ์ปลา </t>
  </si>
  <si>
    <t>Madaguscar</t>
  </si>
  <si>
    <t>โครงการฝึกอบรมการเจียระไนพลอย</t>
  </si>
  <si>
    <t xml:space="preserve">  - Labour &amp; Employment</t>
  </si>
  <si>
    <t>Peru</t>
  </si>
  <si>
    <t xml:space="preserve">   - Trade, Services &amp; Investment</t>
  </si>
  <si>
    <t>Promotion of Peruvian Cuisine " From Peru to the World"</t>
  </si>
  <si>
    <t xml:space="preserve">  - Energy</t>
  </si>
  <si>
    <t>โครงการใช้เครื่องจักรกลผลิตอ้อยเพื่อผลิตพลังงานทดแทน</t>
  </si>
  <si>
    <t xml:space="preserve"> - Training on Fishery Post Harvest Technology</t>
  </si>
  <si>
    <t xml:space="preserve"> - Coastal Navigation Training Program </t>
  </si>
  <si>
    <t>โครงการความร่วมมือกับติมอร์ - เลสเต ด้านสาธารณสุข (3 ปี)</t>
  </si>
  <si>
    <t>โครงการศึกษา วิจัย พัฒนา และส่งเสริมการควบคุมแมลงวันผลไม้แบบครอบคลุมพื้นที่ ณ ประเทศบราซิล</t>
  </si>
  <si>
    <t>International Training Course on Programme Management of Prevention of Mother to Child HIV Transmission
Beneficiary : Cambodia (3), Myanmar (4), Thailand (3), Vietnam (3)</t>
  </si>
  <si>
    <t>GMS Workshop on Initiatives and Opportunities for Joint Standard Setting on Victim Identification Guidelines and Standard Operating Procedures
Beneficiary : Cambodia (6), Laos (6), Myanmar (6), Vietnam (6)</t>
  </si>
  <si>
    <t>- Training on Health Information System/ E-Informatics</t>
  </si>
  <si>
    <t>- Competency Development for Laboratory</t>
  </si>
  <si>
    <t>- Nutritional and Food Safety</t>
  </si>
  <si>
    <t>- Communicable Disease Control Focus on HIV/AIDs and TB</t>
  </si>
  <si>
    <t>3.1 Institute's Wireless Network Upgrade</t>
  </si>
  <si>
    <t xml:space="preserve"> - Education</t>
  </si>
  <si>
    <t xml:space="preserve"> - Labour &amp; Employment</t>
  </si>
  <si>
    <t>โครงการศึกษาทางไกลสู่แดนพุทธภูมิเฉลิมพระเกียรติในมหามงคลวโรกาส ณ วัดไทย 5 แห่ง</t>
  </si>
  <si>
    <t xml:space="preserve"> -Training on Conservation and Management of the Coastal Resources</t>
  </si>
  <si>
    <t xml:space="preserve"> - Agriculture</t>
  </si>
  <si>
    <t xml:space="preserve"> - Energy</t>
  </si>
  <si>
    <t xml:space="preserve"> - Industry</t>
  </si>
  <si>
    <t xml:space="preserve"> - Public Health</t>
  </si>
  <si>
    <t xml:space="preserve"> - Sciences &amp; Technology</t>
  </si>
  <si>
    <t xml:space="preserve">  - Public </t>
  </si>
  <si>
    <t xml:space="preserve">  Adminisdtration</t>
  </si>
  <si>
    <t xml:space="preserve">    - Gambia</t>
  </si>
  <si>
    <t xml:space="preserve">    - Malawi</t>
  </si>
  <si>
    <t>Brazil</t>
  </si>
  <si>
    <t xml:space="preserve">   - Vanuatu</t>
  </si>
  <si>
    <t xml:space="preserve">   - Eritrea</t>
  </si>
  <si>
    <t xml:space="preserve">   - Gabonese Republic</t>
  </si>
  <si>
    <t xml:space="preserve">    - Lesotho</t>
  </si>
  <si>
    <t xml:space="preserve">    - Brunei</t>
  </si>
  <si>
    <t xml:space="preserve">   - Ivory Coast</t>
  </si>
  <si>
    <t xml:space="preserve">    - Ivory Coast</t>
  </si>
  <si>
    <t xml:space="preserve">    - Guinea</t>
  </si>
  <si>
    <t xml:space="preserve">    - Idia</t>
  </si>
  <si>
    <t xml:space="preserve">    - Mozambique</t>
  </si>
  <si>
    <t xml:space="preserve">    - Bukina Faso</t>
  </si>
  <si>
    <t xml:space="preserve">   - Guinea</t>
  </si>
  <si>
    <t>Other *</t>
  </si>
  <si>
    <t xml:space="preserve">   - Social Development &amp; Welfare </t>
  </si>
  <si>
    <t xml:space="preserve">โครงการเผยแพร่แนวทางการพัฒนาทางเลือกที่ยั่งยืนในระดับนานาชาติ โดยมูลนิธิแม่ฟ้าหลวง </t>
  </si>
  <si>
    <t xml:space="preserve"> - Public Administration</t>
  </si>
  <si>
    <t>ประชุมภายใต้กรอบ คกร. ไทย-จีน</t>
  </si>
  <si>
    <t>Aquatic Plants Soilless Culture and Postharvest Technology
Beneficiary : Bangladesh (1), Bhutan (1), India (1), Nepal (1), Myanmar (1), Sri Lanka (1), Thailand (1)</t>
  </si>
  <si>
    <t>Designing and Implementation of Bridge and Tunnel Projects
Beneficiary : Bhutan (3), India (3), Myanmar (3), Nepal (2), Palestine (6), Sri Lanka (2), Thailand (2)</t>
  </si>
  <si>
    <t>Road Construction and Maintenance
Beneficiary : Myanmar (3), Nepal (3), Sri Lanka (3), Thailand (3)</t>
  </si>
  <si>
    <t xml:space="preserve">    - Palestine</t>
  </si>
  <si>
    <t xml:space="preserve">   - Korea</t>
  </si>
  <si>
    <t xml:space="preserve">   - Poland</t>
  </si>
  <si>
    <t xml:space="preserve">   - Bahrain</t>
  </si>
  <si>
    <t xml:space="preserve">   - Iraq</t>
  </si>
  <si>
    <t xml:space="preserve">   - Kazakhstan</t>
  </si>
  <si>
    <t xml:space="preserve">   - Kyrgyzstan </t>
  </si>
  <si>
    <t xml:space="preserve">   - Palestine</t>
  </si>
  <si>
    <t xml:space="preserve">   - South Africa</t>
  </si>
  <si>
    <t xml:space="preserve">   - Turkey</t>
  </si>
  <si>
    <t xml:space="preserve">    - Bahrain</t>
  </si>
  <si>
    <t xml:space="preserve">     - Costa Rica</t>
  </si>
  <si>
    <t xml:space="preserve">     - Ethiopia</t>
  </si>
  <si>
    <t xml:space="preserve">     - Georgia</t>
  </si>
  <si>
    <t xml:space="preserve">     - India</t>
  </si>
  <si>
    <t xml:space="preserve">     - Iran</t>
  </si>
  <si>
    <t xml:space="preserve">     - Iraq</t>
  </si>
  <si>
    <t xml:space="preserve">     - Jordan</t>
  </si>
  <si>
    <t xml:space="preserve">     - Kazakhstan</t>
  </si>
  <si>
    <t xml:space="preserve">    - Korea</t>
  </si>
  <si>
    <t xml:space="preserve">     -  Malawi</t>
  </si>
  <si>
    <t xml:space="preserve">     -  Morocco</t>
  </si>
  <si>
    <t xml:space="preserve">     - Pakistan</t>
  </si>
  <si>
    <t xml:space="preserve">     - Palestine</t>
  </si>
  <si>
    <t xml:space="preserve">     - Kyrgyzstan</t>
  </si>
  <si>
    <t xml:space="preserve">     - Poland</t>
  </si>
  <si>
    <t xml:space="preserve">     - South Africa</t>
  </si>
  <si>
    <t xml:space="preserve">     - Turkey</t>
  </si>
  <si>
    <t xml:space="preserve">     - Uganda</t>
  </si>
  <si>
    <t xml:space="preserve">     - Burundi</t>
  </si>
  <si>
    <t xml:space="preserve">     - Maldives</t>
  </si>
  <si>
    <t xml:space="preserve">     - Nepal</t>
  </si>
  <si>
    <t>Soil Survey, Land Use Planning and Soil Management
Beneficiary : Cambodia (3), Laos (4), Myanmar (4), Thailand (2)</t>
  </si>
  <si>
    <t>Strategic Planning for the Labour Development
Beneficiary : Cambodia (4), Laos (3), Thailand (4), Vietnam (2)</t>
  </si>
  <si>
    <t xml:space="preserve">Scholarship : Laos </t>
  </si>
  <si>
    <t>Scholarship : Laos (1), Myanmar (2), Vietnam</t>
  </si>
  <si>
    <t>Scholarship : Laos(1)</t>
  </si>
  <si>
    <t>Scholarship : Myanmar (1)</t>
  </si>
  <si>
    <t xml:space="preserve">Scholarship : Laos, Myanmar, Vietnam </t>
  </si>
  <si>
    <t>Scholarship : Laos</t>
  </si>
  <si>
    <t>Scholarship : Cambodia (1)</t>
  </si>
  <si>
    <t xml:space="preserve">Scholarship : Myanmar </t>
  </si>
  <si>
    <t xml:space="preserve">Tourism </t>
  </si>
  <si>
    <t xml:space="preserve">Scholarship : Laos (1), Myanmar (1) </t>
  </si>
  <si>
    <t>ASEAN- IAI</t>
  </si>
  <si>
    <t>ASEAN-IAI</t>
  </si>
  <si>
    <t>\\\\\\\\\\\\\\\\\\\\\\\\\\\\\\\\\\\\\\\\\\\\\\\\\\\\\\\\\\\\\\\\\\\\\\\\\\\\\\\\\\\\\\\\\\\\\\\\\\\\\\\\\\\\\\\\\\\\\\\\\\\\\\\\\\\\\\\\\\\\\\\\\\\\\\\\\\\\\\\\\\\\\\\\\\\\\\\\\\\\\\\\\\\\\\\\\\\\\\\\\\\\\\\\\\\\\\\\\\\\\\\\\\\\\\\\\\\\\\\\\\\\\\\\\\\\\\\\\\\\\\\\\\\\\\\\\\\\\\\\\\\\\\\\\\\\\\\\\\\\\\\\\\\\\\\\\\\\\\\\\\\\\\\\\\\\\\\\\\\\\\\\\\\\\\\\\\\\\\\\\\\\\\\\\\\\\\\\\\\\\\\\\\\\\\\\\\\\\\\\\\\\\\\\\\\\\\\\\\\\\\\\\\\\\\\\\\\\\\\\\\\\\\\\\\\\\\\\\\\\\\\\\\\\\\\\\\\\\\\\\\\\\\\\\\\\\\\\\\\\\\\\\\\\\\\\\\\\\\\\\\\\\\\\\\\\\\\\\\\\\\\\\\\\\\\\\\\\\\\\\\\\\\\\\\\\\\\\\\\\\\\\\\\\\\\\\\\\\\\\\\\\\\\\\\\\\\\\\\\\\\\\\\\\\\\\\\\\\\\\\\\\\\\\\\\\\\\\\\\\\\\\\\\\\\\\\\\\\\\\\\\\\\\\\\\\\\\\\\\\\\\\\\\\\\\\\\\\\\\\\\\\\\\\\\\\\\\\\\\\\\\\\\\\\\\\\\\\\\\\\\\\\\\\\\\\\\\\\\\\\\\\\\\\\\\\\\\\\\\\\\\\\\\\\\\\\\\\\\\\\\\\\\\\\\\\\\\\\\\\\\\\\\\\\\\\\\\\\\\\\\\\\\\\\\\\\\\\\\\\\\\\\\\\\\\\\\\\\\\\\\\\\\\\\\\\\\\\\\\\\\\\\\\\\\\\\\\\\\\\\\\\\\\\\\\\\\\\\\\\\\\\\\\\\\\\\\\\\\\\\\\\\\\\\\\\\\\\\\\\\\\\\\\\\\\\\\\\\\\\\\\\\\\\\\\\\\\\\\\\\\\\\\\\\\\\\\\\\\\\\\\\\\\\\\\\\\\\\\\\\\\\\\\\\\\\\\\\\\\\\\\\\\\\\\\\\\\\\\\\\\\\\\\\\\\\\\\\\\\\\\\\\\\\\\\\\\\\\\\\\\\\\\\\\\\\\\\\\\\\\\\\\\\\\\\\\\\\\\\\\\\\\\\\\\\\\\\\\\\\\\\\\\\\\\\\\\\\\\\\\\\\\\\\\\\\\\\\\\\\\\\\\\\\\\\\\\\\\\\\\\\\\\\\\\\\\\\\\\\\\\\\\\\\\\\\\\\\\\\\\\\\\\\\\\\\\\\\\\\\\\\\\\\\\\\\\\\\\\\\\\\\\\\\\\\\\\\\\\\\\\\\\\\\\\\\\\\\\\\\\\\\\\\\\\\\\\\\\\\\\\\\\\\\\\\\\\\\\\\\\\\\\\\\\\\\\\\\\\\\\\\\\\\\\\\\\\\\\\\\\\</t>
  </si>
  <si>
    <t>\\\\\\\\\\\\\\\\\\\\\\\\\\\\\\\\\\\\\\\\\\\\\\\\\\\\\\\\\\\\\\\\\\\\\\\\\\\\\\\\\\\\\\\\\\\\\\\\\\\\\\\\\\\\\\\\\\\\\\\\\\\\\\\\\\\\\\\\\\\\\\\\\\\\\\\\\\\\\\\\\\\\\\\\\\\\\\\\\\\\\\\\\\\\\\\\\\\\\\\\\\\\\\\\\\\\\\\\\\\\\\\\\\\\\\\\\\\\\\\\\\\\\\\\\\\\\\\\\\\\\\\\\\\\\\\\\\\\\\\\\\\\\\\\\\\\\\\\\\\\\\\\\\\\\\\\\\\\\\\\\\\\\\\\\\\\\\\\\\\\\\\\\\\\\\\\\\\\\\\\\\\\\\\\\\\\\\\\\\\\\\\\\\\\\\\\\\\\\\\\\\\\\\\\\\\\\\\\\\\\\\\\\\\\\\\\\\\\\\\\\\\\\\\\\\\\\\\\\\\\\\\\\\\\\\\\\\\\\\\\\\\\\\\\</t>
  </si>
  <si>
    <t>\\\\\\\\\\\\\\\\\\\\\\\\\\\\\\\\\\\\\\\\\\\\\\\\\\\\\\\\\</t>
  </si>
  <si>
    <t>\\\\\\\\\\\\\\\\\\\\\\\\\\\\\\\\\\\\\\\\\\\\\\\\\\\\\\\\\\\\\\\\\\\\\\\\\\\\\\\\\\\\\\\\\\\\\\\\\\\\\\\\\\\\\\\\\\\\\\\\\\\\\\\\\\\\\\\\\\\\\\\\\\\\\\\\\\\\\\\\\\\\\\\\\\\\\\\\\\\\\\\\\\\\\\\\\\\\\\\\\\\\\\\\\\\\\\\\\\\\\\\\\\\\\\\\\\\\\\\\\\\\\\\\\\\\\\\\\\\\\\\\\\\\\\\\\\\\\\\\\\\\\\\\\\\\\\\\\\\\\\\\\\\\\\\\\\\\\\\\\\\\\\\\\\\\\\\\\\\\\\\\\\\\\\\\\\\\\\\\\\\\\\\\\\\\\\\\\\\\\\\\\\\\\\\\\\\\\\\\\\\\\\\\\\\\\\\\\\\\\\\\\\\\\</t>
  </si>
  <si>
    <t>\\\\\\\\\\\\\\\\\\\\\\\\\\\\\\\\\\\\\\\\\\\\\\\\\\\\\\\\\\\\\\\\\\\\\\\\\\\\\\\\\\\\\\\\\\\\\\\\\\\\\\\\\\\\\\\\\\\\\\\\\\\\\\\\\\\\\\\\\\\\\\\\\\\\\\\\\\\\\\\\\\\\\\\\\\\\\\\\\\\\\\\\\\\\\\\\\\\\\\\\\\\\\\\\\\\\\\\\\\\\\\\\\\\\\\\\\\\\\\\\\\\\\\\\\\\\\\\\\\\\\\\\\\\\\\\\\\\\\\\\\\\\\\\\\\\\\\\\\\\\\\\\\\\\\\\\\\\\\\\\\\\\\\\\\\\\\\\\\\\\\\\\\\\\\\\\\\\\\\\\\\\\\\\\\\\\\\\\\\\\\\\\\\\\\\\\\\\\\\\\\\\\\\\\\\\\\\\\\\\\\\\\\\\\\\\\\\\\\\\\\\\\\\\\\\\\\\\\\\\\\\\\\\\\\\\\\\\\\\\\\\\\\\\\\\\\\\\\\\\\\\\\\\\\\\\\\\\\\\\\\\\\\\\\\\\\\\\\\\\\\\\\\\\\\\\\\\\\\\\\\\\\\\\\\\\\\\\\\\\\\\\\\\\\\\\\\\\\\\\\\\\\\\\\\\\\\\\\\\\\\\\\\\\\\\\\\\\\\\\\\\\\\\\\\\\\\\\\\\\\\\\\\\\\\\\\\\\\\\</t>
  </si>
  <si>
    <t>The Collaboration on Veterinary Public Health</t>
  </si>
  <si>
    <t>- อาสาสมัครสอนภาษาไทยที่เวียดนาม</t>
  </si>
  <si>
    <t xml:space="preserve">   - St. Vincent and the Grenada</t>
  </si>
  <si>
    <t>ประเทศ</t>
  </si>
  <si>
    <t>จำนวน</t>
  </si>
  <si>
    <t>มูลค่า</t>
  </si>
  <si>
    <t xml:space="preserve"> - กัมพูชา</t>
  </si>
  <si>
    <t xml:space="preserve"> - สปป. ลาว</t>
  </si>
  <si>
    <t xml:space="preserve"> - เมียนมาร์</t>
  </si>
  <si>
    <t xml:space="preserve"> - เวียดนาม</t>
  </si>
  <si>
    <t>1.ประเทศเพื่อนบ้าน 4 ประเทศ</t>
  </si>
  <si>
    <t>รวม</t>
  </si>
  <si>
    <t>ตารางที่ 1 : มูลค่าการให้ความช่วยเหลือทางวิชาการรายประเทศ แยกตามรูปแบบความช่วยเหลือ ประจำปี 2555</t>
  </si>
  <si>
    <t>(หน่วย : จำนวน = คน ,  มูลค่า = พันบาท)</t>
  </si>
  <si>
    <t>ทุนศึกษา
นานาชาติ</t>
  </si>
  <si>
    <t>ทุนฝึกอบรม
นานาชาติ</t>
  </si>
  <si>
    <t>ความร่วมมือกับ
ประเทศ
กำลังพัฒนา</t>
  </si>
  <si>
    <t>ความร่วมมือ
ไตรภาคี</t>
  </si>
  <si>
    <t>ความร่วมมือภายใต้กรอบภูมิภาคต่าง ๆ</t>
  </si>
  <si>
    <t>ความร่วมมือ
ทวิภาคี</t>
  </si>
  <si>
    <t>จำนวน*</t>
  </si>
  <si>
    <t>จำนวน***</t>
  </si>
  <si>
    <t>2. ประเทศในเอเซียตะวันออกเฉียงใต้ (ยกเว้น 4 ประเทศเพื่อนบ้าน)</t>
  </si>
  <si>
    <t>3. ประเทศในเอเซียตะวันออก</t>
  </si>
  <si>
    <t>4. ประเทศในเอเซียใต้และตะวันออกกลาง</t>
  </si>
  <si>
    <t>5. ประเทศในหมู่เกาะแปซิฟิก</t>
  </si>
  <si>
    <t>6. ประเทศในแอฟริกา</t>
  </si>
  <si>
    <t>7. ประเทศในเครือรัฐเอกราช</t>
  </si>
  <si>
    <t>8. ประเทศยุโรปตะวันออก</t>
  </si>
  <si>
    <t>9. ประเทศในกลุ่มลาตินอเมริกา</t>
  </si>
  <si>
    <t>10. อื่น ๆ****</t>
  </si>
  <si>
    <t xml:space="preserve"> *  :  จำนวนผู้รับทุน ไม่รวมผู้เชี่ยวชาญและคณะเจ้าหน้าที่</t>
  </si>
  <si>
    <t>** กรอบความร่วมมออนุภูมิภาค ACMECS, BiMSTEC, AIA, GMS</t>
  </si>
  <si>
    <t xml:space="preserve"> ***  :  จำนวนผู้รับทุนที่ดำเนินการด้วยงบประมาณของ สพร.</t>
  </si>
  <si>
    <t xml:space="preserve"> ****  :  การประชุมร่วมกับประเทศกำลังพัฒนาและประเทศพัฒนาน้อยที่สุด การศึกษาวิจัย และผู้รับทุนคนไทย</t>
  </si>
  <si>
    <t>จำนวน**</t>
  </si>
  <si>
    <t>1. ประเทศเพื่อนบ้าน 4  ประเทศ</t>
  </si>
  <si>
    <t>รวมทั้งหมด</t>
  </si>
  <si>
    <t>ตารางที่ 3 : รายละอียดมูลค่าความร่วมมือทวิภาคีรายประเทศ ประจำปี 2555</t>
  </si>
  <si>
    <t>ทุน (ตามคำขอ)</t>
  </si>
  <si>
    <t>โครงการ</t>
  </si>
  <si>
    <t>ผู้เชี่ยวชาญ/
เจ้าหน้าที่</t>
  </si>
  <si>
    <t>วัสดุ
อุปกรณ์</t>
  </si>
  <si>
    <t>อื่น ๆ</t>
  </si>
  <si>
    <t>ฝึกอบรม</t>
  </si>
  <si>
    <t>ศึกษา</t>
  </si>
  <si>
    <t>ผู้เชี่ยวชาญฝ
เจ้าหน้าที่</t>
  </si>
  <si>
    <t>วัสดุ/
อุปกรณ์</t>
  </si>
  <si>
    <t>5. ประเทศในแอฟริกา</t>
  </si>
  <si>
    <t>6. ประเทศในเครือรัฐเอกราช</t>
  </si>
  <si>
    <t>7. ประเทศในกลุ่มลาตินอเมริกา</t>
  </si>
  <si>
    <t>9. อื่น ๆ**</t>
  </si>
  <si>
    <t xml:space="preserve"> **  :  การประชุมร่วมกับประเทศกำลังพัฒนาและประเทศพัฒนาน้อยที่สุด การศึกษาวิจัย และผู้รับทุนคนไทย</t>
  </si>
  <si>
    <t>7. ประเทศยุโรปตะวันออก</t>
  </si>
  <si>
    <t>8. ประเทศในกลุ่มลาตินอเมริกา</t>
  </si>
  <si>
    <t>9. อื่น ๆ*</t>
  </si>
  <si>
    <t xml:space="preserve"> *  :   ผู้รับทุนคนไทย</t>
  </si>
  <si>
    <t>ตารางที่ 5 : โครงการความร่วมมือทวิภาคีรายประเทศ ประจำปี 2555</t>
  </si>
  <si>
    <t xml:space="preserve">ผู้เชี่ยวชาญ/
เจ้าหน้าที่ </t>
  </si>
  <si>
    <t>วัสดุอุปกรณ์</t>
  </si>
  <si>
    <t>ตารางที่ 6 : ผู้เชี่ยวชาญ/เจ้าหน้าที่นอกโครงการภายใต้ความร่วมมือทวิภาคีรายประเทศ แยกตามสาขา ประจำปี 2555</t>
  </si>
  <si>
    <t>ตารางที่ 7 : ทุนศึกษานานาชาติรายประเทศ แยกตามสาขา ประจำปี 2555</t>
  </si>
  <si>
    <t>ตารางที่ 8 : ทุนภายใต้ความร่วมมือกับประเทศกำลังพัฒนา แยกตามสาขา ประจำปี 2555</t>
  </si>
  <si>
    <t>สาขา</t>
  </si>
  <si>
    <t>ตารางที่ 9 : โครงการวิจัยร่วมภายใต้ความร่วมมือกับประเทศกำลังพัมนา ประจำปี 2555</t>
  </si>
  <si>
    <t>ตารางที่ 10 : ทุนฝึกอบรมนานาชาติรายประเทศ แยกตามสาขา ประจำปี 2555</t>
  </si>
  <si>
    <t>1. ประเทศในเอเซียตะวันออก</t>
  </si>
  <si>
    <t>2.อื่น ๆ</t>
  </si>
  <si>
    <t>ประเทศในเอเซียตะวันออกเฉียงใต้</t>
  </si>
  <si>
    <t>5.ประเทศในหมู่เกาะแปซิฟิก</t>
  </si>
  <si>
    <t>* จำแนกประเทศผู้รับความช่วยเหลือไม่ได้</t>
  </si>
  <si>
    <t xml:space="preserve"> *  :  จำนวนผู้รับทุนคนไทย </t>
  </si>
  <si>
    <t>ตารางที่ 11 : mนฝึกอบรมนานาชาติรายหลักสูตร ประจำปี 2555</t>
  </si>
  <si>
    <t>หลักสูตร</t>
  </si>
  <si>
    <t>ประเทศผู้รับทุน</t>
  </si>
  <si>
    <t>7. อื่น ๆ*</t>
  </si>
  <si>
    <t>ตารางที่ 13 : ความร่วมมือไตรภาคีรายหลักสูตร ประจำปี 2555</t>
  </si>
  <si>
    <t>คู่ร่วมมือ</t>
  </si>
  <si>
    <t>โครงการ/หลักสูตร</t>
  </si>
  <si>
    <t>อืน ๆ</t>
  </si>
  <si>
    <t>ตารางที่ 14 : ความร่วมมือภายใต้กรอบภูมิภาคต่าง ๆ แยกตามสาขา ประจำปี 2555</t>
  </si>
  <si>
    <t>กรอบความร่วมมือ</t>
  </si>
  <si>
    <t>ตารางที่ 15 : โครงการความร่วมมือภายใต้กรอบภูมิภาคต่าง ๆ ประจำปี 2555</t>
  </si>
  <si>
    <t>2.ประเทศในกลุ่มเอเซียตะวันออก</t>
  </si>
  <si>
    <t>3. อื่น ๆ</t>
  </si>
  <si>
    <t>2. อื่น ๆ</t>
  </si>
  <si>
    <t>2. ประเทศในเอเซียใต้และตะวันออกกลาง</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</si>
</sst>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t&quot;$&quot;#,##0_);\(t&quot;$&quot;#,##0\)"/>
    <numFmt numFmtId="196" formatCode="t&quot;$&quot;#,##0_);[Red]\(t&quot;$&quot;#,##0\)"/>
    <numFmt numFmtId="197" formatCode="t&quot;$&quot;#,##0.00_);\(t&quot;$&quot;#,##0.00\)"/>
    <numFmt numFmtId="198" formatCode="t&quot;$&quot;#,##0.00_);[Red]\(t&quot;$&quot;#,##0.00\)"/>
    <numFmt numFmtId="199" formatCode="\t&quot;$&quot;#,##0_);\(\t&quot;$&quot;#,##0\)"/>
    <numFmt numFmtId="200" formatCode="\t&quot;$&quot;#,##0_);[Red]\(\t&quot;$&quot;#,##0\)"/>
    <numFmt numFmtId="201" formatCode="\t&quot;$&quot;#,##0.00_);\(\t&quot;$&quot;#,##0.00\)"/>
    <numFmt numFmtId="202" formatCode="\t&quot;$&quot;#,##0.00_);[Red]\(\t&quot;$&quot;#,##0.00\)"/>
    <numFmt numFmtId="203" formatCode="_-* #,##0.0_-;\-* #,##0.0_-;_-* &quot;-&quot;??_-;_-@_-"/>
    <numFmt numFmtId="204" formatCode="_-* #,##0_-;\-* #,##0_-;_-* &quot;-&quot;??_-;_-@_-"/>
    <numFmt numFmtId="205" formatCode="0.0"/>
    <numFmt numFmtId="206" formatCode="#,##0.0"/>
    <numFmt numFmtId="207" formatCode="_(* #,##0.000_);_(* \(#,##0.000\);_(* &quot;-&quot;??_);_(@_)"/>
    <numFmt numFmtId="208" formatCode="_(* #,##0.0_);_(* \(#,##0.0\);_(* &quot;-&quot;??_);_(@_)"/>
    <numFmt numFmtId="209" formatCode="_(* #,##0_);_(* \(#,##0\);_(* &quot;-&quot;??_);_(@_)"/>
    <numFmt numFmtId="210" formatCode="[$-409]dddd\,\ mmmm\ dd\,\ yyyy"/>
    <numFmt numFmtId="211" formatCode="[$-409]h:mm:ss\ AM/PM"/>
    <numFmt numFmtId="212" formatCode="_-* #,##0.000_-;\-* #,##0.000_-;_-* &quot;-&quot;??_-;_-@_-"/>
    <numFmt numFmtId="213" formatCode="_(* #,##0.0_);_(* \(#,##0.0\);_(* &quot;-&quot;?_);_(@_)"/>
    <numFmt numFmtId="214" formatCode="_-* #,##0.0000_-;\-* #,##0.0000_-;_-* &quot;-&quot;??_-;_-@_-"/>
    <numFmt numFmtId="215" formatCode="_-* #,##0.00000_-;\-* #,##0.00000_-;_-* &quot;-&quot;??_-;_-@_-"/>
  </numFmts>
  <fonts count="74">
    <font>
      <sz val="10"/>
      <name val="Arial"/>
      <family val="0"/>
    </font>
    <font>
      <sz val="8"/>
      <name val="Arial"/>
      <family val="2"/>
    </font>
    <font>
      <u val="single"/>
      <sz val="10"/>
      <color indexed="36"/>
      <name val="Arial"/>
      <family val="2"/>
    </font>
    <font>
      <u val="single"/>
      <sz val="10"/>
      <color indexed="12"/>
      <name val="Arial"/>
      <family val="2"/>
    </font>
    <font>
      <sz val="14"/>
      <name val="Cordia New"/>
      <family val="2"/>
    </font>
    <font>
      <b/>
      <sz val="14"/>
      <name val="Cordia New"/>
      <family val="2"/>
    </font>
    <font>
      <b/>
      <sz val="10"/>
      <name val="Cordia New"/>
      <family val="2"/>
    </font>
    <font>
      <b/>
      <sz val="12"/>
      <name val="Cordia New"/>
      <family val="2"/>
    </font>
    <font>
      <b/>
      <sz val="10"/>
      <name val="Arial"/>
      <family val="2"/>
    </font>
    <font>
      <b/>
      <sz val="9"/>
      <name val="Arial"/>
      <family val="2"/>
    </font>
    <font>
      <sz val="12"/>
      <name val="Cordia New"/>
      <family val="2"/>
    </font>
    <font>
      <b/>
      <sz val="13.5"/>
      <name val="Cordia New"/>
      <family val="2"/>
    </font>
    <font>
      <sz val="10"/>
      <name val="Cordia New"/>
      <family val="2"/>
    </font>
    <font>
      <sz val="13"/>
      <name val="Cordia New"/>
      <family val="2"/>
    </font>
    <font>
      <b/>
      <sz val="11"/>
      <name val="Cordia New"/>
      <family val="2"/>
    </font>
    <font>
      <sz val="14"/>
      <name val="Arial"/>
      <family val="2"/>
    </font>
    <font>
      <b/>
      <sz val="13"/>
      <name val="Cordia New"/>
      <family val="2"/>
    </font>
    <font>
      <b/>
      <sz val="8"/>
      <name val="Comic Sans MS"/>
      <family val="4"/>
    </font>
    <font>
      <sz val="8"/>
      <name val="Comic Sans MS"/>
      <family val="4"/>
    </font>
    <font>
      <b/>
      <sz val="16"/>
      <name val="Cordia New"/>
      <family val="2"/>
    </font>
    <font>
      <b/>
      <sz val="9"/>
      <name val="Arial Narrow"/>
      <family val="2"/>
    </font>
    <font>
      <b/>
      <sz val="8"/>
      <name val="Arial Narrow"/>
      <family val="2"/>
    </font>
    <font>
      <b/>
      <sz val="12"/>
      <color indexed="10"/>
      <name val="Cordia New"/>
      <family val="2"/>
    </font>
    <font>
      <sz val="9"/>
      <name val="Arial"/>
      <family val="2"/>
    </font>
    <font>
      <sz val="13"/>
      <name val="Arial"/>
      <family val="2"/>
    </font>
    <font>
      <sz val="12"/>
      <name val="Arial"/>
      <family val="2"/>
    </font>
    <font>
      <sz val="13.5"/>
      <name val="Cordia New"/>
      <family val="2"/>
    </font>
    <font>
      <sz val="13.5"/>
      <name val="Arial"/>
      <family val="2"/>
    </font>
    <font>
      <b/>
      <sz val="8"/>
      <name val="Arial"/>
      <family val="2"/>
    </font>
    <font>
      <b/>
      <sz val="15"/>
      <name val="Cordia New"/>
      <family val="2"/>
    </font>
    <font>
      <sz val="16"/>
      <name val="Arial"/>
      <family val="2"/>
    </font>
    <font>
      <b/>
      <sz val="13.5"/>
      <color indexed="10"/>
      <name val="Cordia New"/>
      <family val="2"/>
    </font>
    <font>
      <sz val="10"/>
      <color indexed="10"/>
      <name val="Arial"/>
      <family val="2"/>
    </font>
    <font>
      <b/>
      <sz val="13.5"/>
      <color indexed="8"/>
      <name val="Cordia New"/>
      <family val="2"/>
    </font>
    <font>
      <sz val="13.5"/>
      <color indexed="8"/>
      <name val="Cordia New"/>
      <family val="2"/>
    </font>
    <font>
      <b/>
      <sz val="14"/>
      <name val="Arial"/>
      <family val="2"/>
    </font>
    <font>
      <sz val="14"/>
      <color indexed="8"/>
      <name val="Cordia New"/>
      <family val="2"/>
    </font>
    <font>
      <sz val="13.2"/>
      <name val="Cordia New"/>
      <family val="2"/>
    </font>
    <font>
      <b/>
      <sz val="7"/>
      <name val="Arial"/>
      <family val="2"/>
    </font>
    <font>
      <b/>
      <sz val="7"/>
      <name val="Arial Narrow"/>
      <family val="2"/>
    </font>
    <font>
      <sz val="11"/>
      <color indexed="8"/>
      <name val="Tahoma"/>
      <family val="2"/>
    </font>
    <font>
      <sz val="11"/>
      <color indexed="9"/>
      <name val="Tahoma"/>
      <family val="2"/>
    </font>
    <font>
      <sz val="11"/>
      <color indexed="20"/>
      <name val="Tahoma"/>
      <family val="2"/>
    </font>
    <font>
      <b/>
      <sz val="11"/>
      <color indexed="52"/>
      <name val="Tahoma"/>
      <family val="2"/>
    </font>
    <font>
      <b/>
      <sz val="11"/>
      <color indexed="9"/>
      <name val="Tahoma"/>
      <family val="2"/>
    </font>
    <font>
      <i/>
      <sz val="11"/>
      <color indexed="23"/>
      <name val="Tahoma"/>
      <family val="2"/>
    </font>
    <font>
      <sz val="11"/>
      <color indexed="17"/>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sz val="11"/>
      <color indexed="52"/>
      <name val="Tahoma"/>
      <family val="2"/>
    </font>
    <font>
      <sz val="11"/>
      <color indexed="60"/>
      <name val="Tahoma"/>
      <family val="2"/>
    </font>
    <font>
      <b/>
      <sz val="11"/>
      <color indexed="63"/>
      <name val="Tahoma"/>
      <family val="2"/>
    </font>
    <font>
      <b/>
      <sz val="18"/>
      <color indexed="56"/>
      <name val="Tahoma"/>
      <family val="2"/>
    </font>
    <font>
      <b/>
      <sz val="11"/>
      <color indexed="8"/>
      <name val="Tahoma"/>
      <family val="2"/>
    </font>
    <font>
      <sz val="11"/>
      <color indexed="10"/>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style="hair"/>
      <bottom style="medium"/>
    </border>
    <border>
      <left>
        <color indexed="63"/>
      </left>
      <right>
        <color indexed="63"/>
      </right>
      <top style="hair"/>
      <bottom style="hair"/>
    </border>
    <border>
      <left>
        <color indexed="63"/>
      </left>
      <right>
        <color indexed="63"/>
      </right>
      <top style="medium"/>
      <bottom style="thin"/>
    </border>
    <border>
      <left style="hair"/>
      <right>
        <color indexed="63"/>
      </right>
      <top>
        <color indexed="63"/>
      </top>
      <bottom>
        <color indexed="63"/>
      </bottom>
    </border>
    <border>
      <left style="hair"/>
      <right>
        <color indexed="63"/>
      </right>
      <top>
        <color indexed="63"/>
      </top>
      <bottom style="hair"/>
    </border>
    <border>
      <left style="hair"/>
      <right>
        <color indexed="63"/>
      </right>
      <top style="medium"/>
      <bottom style="medium"/>
    </border>
    <border>
      <left>
        <color indexed="63"/>
      </left>
      <right style="hair"/>
      <top>
        <color indexed="63"/>
      </top>
      <bottom>
        <color indexed="63"/>
      </bottom>
    </border>
    <border>
      <left>
        <color indexed="63"/>
      </left>
      <right style="hair"/>
      <top>
        <color indexed="63"/>
      </top>
      <bottom style="hair"/>
    </border>
    <border>
      <left>
        <color indexed="63"/>
      </left>
      <right style="hair"/>
      <top style="medium"/>
      <bottom style="medium"/>
    </border>
    <border>
      <left>
        <color indexed="63"/>
      </left>
      <right style="hair"/>
      <top style="thin"/>
      <bottom style="thin"/>
    </border>
    <border>
      <left>
        <color indexed="63"/>
      </left>
      <right style="hair"/>
      <top style="medium"/>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style="hair"/>
      <top style="hair"/>
      <bottom style="hair"/>
    </border>
    <border>
      <left>
        <color indexed="63"/>
      </left>
      <right style="hair"/>
      <top style="hair"/>
      <bottom style="medium"/>
    </border>
    <border>
      <left>
        <color indexed="63"/>
      </left>
      <right style="hair"/>
      <top style="hair"/>
      <bottom style="hair"/>
    </border>
    <border>
      <left style="hair"/>
      <right style="hair"/>
      <top style="medium"/>
      <bottom style="medium"/>
    </border>
    <border>
      <left style="hair"/>
      <right style="hair"/>
      <top style="medium"/>
      <bottom>
        <color indexed="63"/>
      </bottom>
    </border>
    <border>
      <left style="hair"/>
      <right style="hair"/>
      <top>
        <color indexed="63"/>
      </top>
      <bottom style="medium"/>
    </border>
    <border>
      <left style="hair"/>
      <right>
        <color indexed="63"/>
      </right>
      <top style="hair"/>
      <bottom>
        <color indexed="63"/>
      </bottom>
    </border>
    <border>
      <left>
        <color indexed="63"/>
      </left>
      <right style="hair"/>
      <top style="hair"/>
      <bottom>
        <color indexed="63"/>
      </bottom>
    </border>
    <border>
      <left style="hair"/>
      <right>
        <color indexed="63"/>
      </right>
      <top style="hair"/>
      <bottom style="medium"/>
    </border>
    <border>
      <left>
        <color indexed="63"/>
      </left>
      <right>
        <color indexed="63"/>
      </right>
      <top style="thin"/>
      <bottom style="thin"/>
    </border>
    <border>
      <left style="hair"/>
      <right>
        <color indexed="63"/>
      </right>
      <top style="thin"/>
      <bottom style="medium"/>
    </border>
    <border>
      <left>
        <color indexed="63"/>
      </left>
      <right style="hair"/>
      <top style="thin"/>
      <bottom style="medium"/>
    </border>
    <border>
      <left style="hair"/>
      <right>
        <color indexed="63"/>
      </right>
      <top style="medium"/>
      <bottom>
        <color indexed="63"/>
      </bottom>
    </border>
    <border>
      <left style="hair"/>
      <right>
        <color indexed="63"/>
      </right>
      <top>
        <color indexed="63"/>
      </top>
      <bottom style="thin"/>
    </border>
    <border>
      <left>
        <color indexed="63"/>
      </left>
      <right>
        <color indexed="63"/>
      </right>
      <top>
        <color indexed="63"/>
      </top>
      <bottom style="thin"/>
    </border>
    <border>
      <left style="hair"/>
      <right>
        <color indexed="63"/>
      </right>
      <top style="medium"/>
      <bottom style="thin"/>
    </border>
    <border>
      <left>
        <color indexed="63"/>
      </left>
      <right style="hair"/>
      <top style="medium"/>
      <bottom style="thin"/>
    </border>
    <border>
      <left>
        <color indexed="63"/>
      </left>
      <right style="hair"/>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3"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4" fillId="0" borderId="0">
      <alignment/>
      <protection/>
    </xf>
    <xf numFmtId="0" fontId="4"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0" fillId="0" borderId="0">
      <alignment/>
      <protection/>
    </xf>
  </cellStyleXfs>
  <cellXfs count="1224">
    <xf numFmtId="0" fontId="0" fillId="0" borderId="0" xfId="0" applyAlignment="1">
      <alignment/>
    </xf>
    <xf numFmtId="0" fontId="5" fillId="0" borderId="0" xfId="61" applyFont="1" applyAlignment="1">
      <alignment vertical="center"/>
      <protection/>
    </xf>
    <xf numFmtId="0" fontId="6" fillId="0" borderId="0" xfId="61" applyFont="1" applyAlignment="1">
      <alignment horizontal="center"/>
      <protection/>
    </xf>
    <xf numFmtId="0" fontId="6" fillId="0" borderId="0" xfId="61" applyFont="1">
      <alignment/>
      <protection/>
    </xf>
    <xf numFmtId="204" fontId="6" fillId="0" borderId="0" xfId="45" applyNumberFormat="1" applyFont="1" applyAlignment="1">
      <alignment horizontal="center"/>
    </xf>
    <xf numFmtId="204" fontId="6" fillId="0" borderId="0" xfId="45" applyNumberFormat="1" applyFont="1" applyAlignment="1">
      <alignment/>
    </xf>
    <xf numFmtId="0" fontId="4" fillId="0" borderId="0" xfId="61">
      <alignment/>
      <protection/>
    </xf>
    <xf numFmtId="203" fontId="10" fillId="0" borderId="0" xfId="45" applyNumberFormat="1" applyFont="1" applyAlignment="1">
      <alignment/>
    </xf>
    <xf numFmtId="0" fontId="10" fillId="0" borderId="0" xfId="61" applyFont="1">
      <alignment/>
      <protection/>
    </xf>
    <xf numFmtId="0" fontId="5" fillId="0" borderId="0" xfId="61" applyFont="1" applyBorder="1">
      <alignment/>
      <protection/>
    </xf>
    <xf numFmtId="0" fontId="11" fillId="0" borderId="0" xfId="61" applyFont="1" applyBorder="1">
      <alignment/>
      <protection/>
    </xf>
    <xf numFmtId="204" fontId="11" fillId="0" borderId="0" xfId="45" applyNumberFormat="1" applyFont="1" applyBorder="1" applyAlignment="1">
      <alignment horizontal="right"/>
    </xf>
    <xf numFmtId="204" fontId="11" fillId="0" borderId="0" xfId="45" applyNumberFormat="1" applyFont="1" applyBorder="1" applyAlignment="1">
      <alignment/>
    </xf>
    <xf numFmtId="0" fontId="11" fillId="0" borderId="0" xfId="61" applyFont="1" applyBorder="1" applyAlignment="1">
      <alignment horizontal="right"/>
      <protection/>
    </xf>
    <xf numFmtId="0" fontId="5" fillId="0" borderId="10" xfId="61" applyFont="1" applyBorder="1">
      <alignment/>
      <protection/>
    </xf>
    <xf numFmtId="204" fontId="11" fillId="0" borderId="0" xfId="45" applyNumberFormat="1" applyFont="1" applyBorder="1" applyAlignment="1">
      <alignment horizontal="center"/>
    </xf>
    <xf numFmtId="0" fontId="11" fillId="0" borderId="11" xfId="61" applyFont="1" applyBorder="1">
      <alignment/>
      <protection/>
    </xf>
    <xf numFmtId="204" fontId="11" fillId="0" borderId="11" xfId="45" applyNumberFormat="1" applyFont="1" applyBorder="1" applyAlignment="1">
      <alignment horizontal="right"/>
    </xf>
    <xf numFmtId="204" fontId="11" fillId="0" borderId="11" xfId="45" applyNumberFormat="1" applyFont="1" applyBorder="1" applyAlignment="1">
      <alignment horizontal="center"/>
    </xf>
    <xf numFmtId="0" fontId="7" fillId="0" borderId="0" xfId="61" applyFont="1" applyBorder="1" applyAlignment="1">
      <alignment horizontal="right"/>
      <protection/>
    </xf>
    <xf numFmtId="0" fontId="10" fillId="0" borderId="0" xfId="61" applyFont="1" applyBorder="1" applyAlignment="1">
      <alignment horizontal="center"/>
      <protection/>
    </xf>
    <xf numFmtId="0" fontId="10" fillId="0" borderId="0" xfId="61" applyFont="1" applyBorder="1">
      <alignment/>
      <protection/>
    </xf>
    <xf numFmtId="204" fontId="10" fillId="0" borderId="0" xfId="45" applyNumberFormat="1" applyFont="1" applyBorder="1" applyAlignment="1">
      <alignment horizontal="center"/>
    </xf>
    <xf numFmtId="204" fontId="10" fillId="0" borderId="0" xfId="45" applyNumberFormat="1" applyFont="1" applyBorder="1" applyAlignment="1">
      <alignment/>
    </xf>
    <xf numFmtId="204" fontId="12" fillId="0" borderId="0" xfId="45" applyNumberFormat="1" applyFont="1" applyAlignment="1">
      <alignment/>
    </xf>
    <xf numFmtId="0" fontId="12" fillId="0" borderId="0" xfId="61" applyFont="1" applyAlignment="1">
      <alignment horizontal="center"/>
      <protection/>
    </xf>
    <xf numFmtId="0" fontId="12" fillId="0" borderId="0" xfId="61" applyFont="1">
      <alignment/>
      <protection/>
    </xf>
    <xf numFmtId="209" fontId="5" fillId="0" borderId="0" xfId="42" applyNumberFormat="1" applyFont="1" applyAlignment="1">
      <alignment/>
    </xf>
    <xf numFmtId="209" fontId="10" fillId="0" borderId="0" xfId="42" applyNumberFormat="1" applyFont="1" applyBorder="1" applyAlignment="1">
      <alignment horizontal="center"/>
    </xf>
    <xf numFmtId="209" fontId="10" fillId="0" borderId="0" xfId="42" applyNumberFormat="1" applyFont="1" applyAlignment="1">
      <alignment/>
    </xf>
    <xf numFmtId="209" fontId="10" fillId="0" borderId="0" xfId="42" applyNumberFormat="1" applyFont="1" applyBorder="1" applyAlignment="1">
      <alignment/>
    </xf>
    <xf numFmtId="204" fontId="12" fillId="0" borderId="0" xfId="45" applyNumberFormat="1" applyFont="1" applyAlignment="1">
      <alignment horizontal="center"/>
    </xf>
    <xf numFmtId="204" fontId="10" fillId="0" borderId="0" xfId="61" applyNumberFormat="1" applyFont="1" applyBorder="1" applyAlignment="1">
      <alignment horizontal="center"/>
      <protection/>
    </xf>
    <xf numFmtId="204" fontId="12" fillId="0" borderId="0" xfId="61" applyNumberFormat="1" applyFont="1">
      <alignment/>
      <protection/>
    </xf>
    <xf numFmtId="0" fontId="5" fillId="0" borderId="0" xfId="60" applyFont="1">
      <alignment/>
      <protection/>
    </xf>
    <xf numFmtId="0" fontId="13" fillId="0" borderId="0" xfId="60" applyFont="1" applyAlignment="1">
      <alignment horizontal="center"/>
      <protection/>
    </xf>
    <xf numFmtId="204" fontId="13" fillId="0" borderId="0" xfId="45" applyNumberFormat="1" applyFont="1" applyAlignment="1">
      <alignment/>
    </xf>
    <xf numFmtId="0" fontId="13" fillId="0" borderId="0" xfId="60" applyFont="1" applyAlignment="1">
      <alignment horizontal="left"/>
      <protection/>
    </xf>
    <xf numFmtId="0" fontId="14" fillId="0" borderId="0" xfId="60" applyFont="1">
      <alignment/>
      <protection/>
    </xf>
    <xf numFmtId="0" fontId="7" fillId="0" borderId="0" xfId="60" applyFont="1" applyAlignment="1">
      <alignment horizontal="right"/>
      <protection/>
    </xf>
    <xf numFmtId="0" fontId="13" fillId="0" borderId="0" xfId="60" applyFont="1">
      <alignment/>
      <protection/>
    </xf>
    <xf numFmtId="0" fontId="4" fillId="0" borderId="0" xfId="60" applyFont="1" applyAlignment="1">
      <alignment horizontal="left"/>
      <protection/>
    </xf>
    <xf numFmtId="0" fontId="15" fillId="0" borderId="0" xfId="0" applyFont="1" applyAlignment="1">
      <alignment/>
    </xf>
    <xf numFmtId="0" fontId="4" fillId="0" borderId="0" xfId="60" applyFont="1" applyAlignment="1">
      <alignment horizontal="center"/>
      <protection/>
    </xf>
    <xf numFmtId="0" fontId="16" fillId="0" borderId="0" xfId="60" applyFont="1" applyBorder="1">
      <alignment/>
      <protection/>
    </xf>
    <xf numFmtId="204" fontId="7" fillId="0" borderId="0" xfId="68" applyNumberFormat="1" applyFont="1">
      <alignment/>
      <protection/>
    </xf>
    <xf numFmtId="204" fontId="7" fillId="0" borderId="0" xfId="68" applyNumberFormat="1" applyFont="1" applyAlignment="1">
      <alignment horizontal="right"/>
      <protection/>
    </xf>
    <xf numFmtId="204" fontId="7" fillId="0" borderId="0" xfId="60" applyNumberFormat="1" applyFont="1">
      <alignment/>
      <protection/>
    </xf>
    <xf numFmtId="204" fontId="7" fillId="0" borderId="0" xfId="68" applyNumberFormat="1" applyFont="1" applyBorder="1">
      <alignment/>
      <protection/>
    </xf>
    <xf numFmtId="0" fontId="16" fillId="0" borderId="11" xfId="60" applyFont="1" applyBorder="1">
      <alignment/>
      <protection/>
    </xf>
    <xf numFmtId="204" fontId="7" fillId="0" borderId="0" xfId="68" applyNumberFormat="1" applyFont="1" applyBorder="1" applyAlignment="1">
      <alignment horizontal="right"/>
      <protection/>
    </xf>
    <xf numFmtId="204" fontId="7" fillId="0" borderId="0" xfId="60" applyNumberFormat="1" applyFont="1" applyBorder="1">
      <alignment/>
      <protection/>
    </xf>
    <xf numFmtId="0" fontId="16" fillId="0" borderId="0" xfId="60" applyFont="1">
      <alignment/>
      <protection/>
    </xf>
    <xf numFmtId="0" fontId="16" fillId="0" borderId="0" xfId="60" applyFont="1">
      <alignment/>
      <protection/>
    </xf>
    <xf numFmtId="204" fontId="10" fillId="0" borderId="0" xfId="68" applyNumberFormat="1" applyFont="1">
      <alignment/>
      <protection/>
    </xf>
    <xf numFmtId="208" fontId="17" fillId="0" borderId="0" xfId="42" applyNumberFormat="1" applyFont="1" applyAlignment="1">
      <alignment/>
    </xf>
    <xf numFmtId="208" fontId="18" fillId="0" borderId="0" xfId="42" applyNumberFormat="1" applyFont="1" applyAlignment="1">
      <alignment/>
    </xf>
    <xf numFmtId="0" fontId="1" fillId="0" borderId="0" xfId="0" applyFont="1" applyAlignment="1">
      <alignment/>
    </xf>
    <xf numFmtId="0" fontId="4" fillId="0" borderId="0" xfId="60" applyAlignment="1">
      <alignment horizontal="center"/>
      <protection/>
    </xf>
    <xf numFmtId="0" fontId="12" fillId="0" borderId="0" xfId="60" applyFont="1">
      <alignment/>
      <protection/>
    </xf>
    <xf numFmtId="0" fontId="7" fillId="0" borderId="0" xfId="60" applyFont="1" applyBorder="1">
      <alignment/>
      <protection/>
    </xf>
    <xf numFmtId="0" fontId="12" fillId="0" borderId="0" xfId="60" applyFont="1" applyBorder="1" applyAlignment="1">
      <alignment horizontal="center"/>
      <protection/>
    </xf>
    <xf numFmtId="204" fontId="12" fillId="0" borderId="0" xfId="45" applyNumberFormat="1" applyFont="1" applyBorder="1" applyAlignment="1">
      <alignment/>
    </xf>
    <xf numFmtId="204" fontId="12" fillId="0" borderId="0" xfId="45" applyNumberFormat="1" applyFont="1" applyBorder="1" applyAlignment="1">
      <alignment horizontal="center"/>
    </xf>
    <xf numFmtId="0" fontId="7" fillId="0" borderId="0" xfId="60" applyFont="1" applyBorder="1" applyAlignment="1">
      <alignment horizontal="center"/>
      <protection/>
    </xf>
    <xf numFmtId="0" fontId="0" fillId="0" borderId="0" xfId="0" applyFont="1" applyAlignment="1">
      <alignment/>
    </xf>
    <xf numFmtId="0" fontId="10" fillId="0" borderId="0" xfId="60" applyFont="1" applyBorder="1">
      <alignment/>
      <protection/>
    </xf>
    <xf numFmtId="0" fontId="7" fillId="0" borderId="0" xfId="60" applyFont="1" applyBorder="1">
      <alignment/>
      <protection/>
    </xf>
    <xf numFmtId="0" fontId="4" fillId="0" borderId="0" xfId="60">
      <alignment/>
      <protection/>
    </xf>
    <xf numFmtId="0" fontId="5" fillId="0" borderId="0" xfId="60" applyFont="1">
      <alignment/>
      <protection/>
    </xf>
    <xf numFmtId="0" fontId="12" fillId="0" borderId="0" xfId="60" applyFont="1" applyAlignment="1">
      <alignment horizontal="center"/>
      <protection/>
    </xf>
    <xf numFmtId="204" fontId="12" fillId="0" borderId="0" xfId="45" applyNumberFormat="1" applyFont="1" applyFill="1" applyAlignment="1">
      <alignment/>
    </xf>
    <xf numFmtId="0" fontId="10" fillId="0" borderId="0" xfId="60" applyFont="1">
      <alignment/>
      <protection/>
    </xf>
    <xf numFmtId="0" fontId="10" fillId="0" borderId="0" xfId="60" applyFont="1">
      <alignment/>
      <protection/>
    </xf>
    <xf numFmtId="0" fontId="7" fillId="0" borderId="0" xfId="60" applyFont="1">
      <alignment/>
      <protection/>
    </xf>
    <xf numFmtId="0" fontId="5" fillId="0" borderId="0" xfId="60" applyFont="1" applyBorder="1">
      <alignment/>
      <protection/>
    </xf>
    <xf numFmtId="0" fontId="11" fillId="0" borderId="0" xfId="60" applyFont="1" applyBorder="1">
      <alignment/>
      <protection/>
    </xf>
    <xf numFmtId="204" fontId="13" fillId="0" borderId="0" xfId="45" applyNumberFormat="1" applyFont="1" applyBorder="1" applyAlignment="1">
      <alignment/>
    </xf>
    <xf numFmtId="204" fontId="13" fillId="0" borderId="0" xfId="45" applyNumberFormat="1" applyFont="1" applyBorder="1" applyAlignment="1">
      <alignment horizontal="center"/>
    </xf>
    <xf numFmtId="0" fontId="13" fillId="0" borderId="0" xfId="60" applyFont="1" applyBorder="1">
      <alignment/>
      <protection/>
    </xf>
    <xf numFmtId="0" fontId="13" fillId="0" borderId="0" xfId="60" applyFont="1">
      <alignment/>
      <protection/>
    </xf>
    <xf numFmtId="204" fontId="16" fillId="0" borderId="11" xfId="45" applyNumberFormat="1" applyFont="1" applyBorder="1" applyAlignment="1">
      <alignment/>
    </xf>
    <xf numFmtId="0" fontId="5" fillId="0" borderId="10" xfId="60" applyFont="1" applyBorder="1">
      <alignment/>
      <protection/>
    </xf>
    <xf numFmtId="204" fontId="14" fillId="0" borderId="10" xfId="45" applyNumberFormat="1" applyFont="1" applyBorder="1" applyAlignment="1">
      <alignment/>
    </xf>
    <xf numFmtId="204" fontId="14" fillId="0" borderId="10" xfId="45" applyNumberFormat="1" applyFont="1" applyBorder="1" applyAlignment="1">
      <alignment horizontal="center"/>
    </xf>
    <xf numFmtId="0" fontId="23" fillId="0" borderId="0" xfId="0" applyFont="1" applyAlignment="1">
      <alignment/>
    </xf>
    <xf numFmtId="203" fontId="13" fillId="0" borderId="0" xfId="45" applyNumberFormat="1" applyFont="1" applyAlignment="1">
      <alignment/>
    </xf>
    <xf numFmtId="0" fontId="7" fillId="0" borderId="0" xfId="60" applyFont="1">
      <alignment/>
      <protection/>
    </xf>
    <xf numFmtId="0" fontId="14" fillId="0" borderId="0" xfId="60" applyFont="1" applyBorder="1" applyAlignment="1">
      <alignment horizontal="center"/>
      <protection/>
    </xf>
    <xf numFmtId="204" fontId="14" fillId="0" borderId="0" xfId="45" applyNumberFormat="1" applyFont="1" applyBorder="1" applyAlignment="1">
      <alignment/>
    </xf>
    <xf numFmtId="204" fontId="14" fillId="0" borderId="0" xfId="45" applyNumberFormat="1" applyFont="1" applyBorder="1" applyAlignment="1">
      <alignment horizontal="center"/>
    </xf>
    <xf numFmtId="0" fontId="25" fillId="0" borderId="0" xfId="0" applyFont="1" applyAlignment="1">
      <alignment/>
    </xf>
    <xf numFmtId="204" fontId="5" fillId="0" borderId="10" xfId="45" applyNumberFormat="1" applyFont="1" applyBorder="1" applyAlignment="1">
      <alignment horizontal="center"/>
    </xf>
    <xf numFmtId="0" fontId="5" fillId="0" borderId="0" xfId="60" applyFont="1" applyBorder="1" applyAlignment="1">
      <alignment horizontal="center"/>
      <protection/>
    </xf>
    <xf numFmtId="204" fontId="5" fillId="0" borderId="0" xfId="45" applyNumberFormat="1" applyFont="1" applyBorder="1" applyAlignment="1">
      <alignment horizontal="center"/>
    </xf>
    <xf numFmtId="0" fontId="5" fillId="0" borderId="12" xfId="60" applyFont="1" applyBorder="1" applyAlignment="1">
      <alignment horizontal="center"/>
      <protection/>
    </xf>
    <xf numFmtId="0" fontId="12" fillId="0" borderId="0" xfId="60" applyFont="1" applyBorder="1">
      <alignment/>
      <protection/>
    </xf>
    <xf numFmtId="0" fontId="26" fillId="0" borderId="0" xfId="60" applyFont="1">
      <alignment/>
      <protection/>
    </xf>
    <xf numFmtId="0" fontId="27" fillId="0" borderId="0" xfId="0" applyFont="1" applyAlignment="1">
      <alignment/>
    </xf>
    <xf numFmtId="0" fontId="11" fillId="0" borderId="0" xfId="60" applyFont="1" applyBorder="1" applyAlignment="1">
      <alignment horizontal="left"/>
      <protection/>
    </xf>
    <xf numFmtId="0" fontId="10" fillId="0" borderId="0" xfId="60" applyFont="1" applyAlignment="1">
      <alignment horizontal="center"/>
      <protection/>
    </xf>
    <xf numFmtId="204" fontId="10" fillId="0" borderId="0" xfId="46" applyNumberFormat="1" applyFont="1" applyAlignment="1">
      <alignment/>
    </xf>
    <xf numFmtId="0" fontId="7" fillId="0" borderId="0" xfId="60" applyFont="1" applyAlignment="1">
      <alignment horizontal="right"/>
      <protection/>
    </xf>
    <xf numFmtId="204" fontId="7" fillId="0" borderId="0" xfId="46" applyNumberFormat="1" applyFont="1" applyBorder="1" applyAlignment="1">
      <alignment/>
    </xf>
    <xf numFmtId="204" fontId="7" fillId="0" borderId="0" xfId="46" applyNumberFormat="1" applyFont="1" applyBorder="1" applyAlignment="1">
      <alignment horizontal="center"/>
    </xf>
    <xf numFmtId="0" fontId="7" fillId="0" borderId="0" xfId="60" applyFont="1" applyBorder="1" applyAlignment="1">
      <alignment horizontal="center"/>
      <protection/>
    </xf>
    <xf numFmtId="0" fontId="16" fillId="0" borderId="0" xfId="60" applyFont="1" applyBorder="1" applyAlignment="1">
      <alignment horizontal="center" vertical="center"/>
      <protection/>
    </xf>
    <xf numFmtId="204" fontId="16" fillId="0" borderId="0" xfId="46" applyNumberFormat="1" applyFont="1" applyBorder="1" applyAlignment="1">
      <alignment horizontal="center" vertical="center"/>
    </xf>
    <xf numFmtId="204" fontId="16" fillId="0" borderId="0" xfId="60" applyNumberFormat="1" applyFont="1" applyBorder="1" applyAlignment="1">
      <alignment horizontal="center" vertical="center"/>
      <protection/>
    </xf>
    <xf numFmtId="0" fontId="5" fillId="0" borderId="13" xfId="60" applyFont="1" applyBorder="1" applyAlignment="1">
      <alignment horizontal="center" vertical="center"/>
      <protection/>
    </xf>
    <xf numFmtId="204" fontId="7" fillId="0" borderId="0" xfId="60" applyNumberFormat="1" applyFont="1" applyBorder="1" applyAlignment="1">
      <alignment horizontal="center" vertical="center"/>
      <protection/>
    </xf>
    <xf numFmtId="0" fontId="14" fillId="0" borderId="10" xfId="60" applyFont="1" applyBorder="1" applyAlignment="1">
      <alignment horizontal="right"/>
      <protection/>
    </xf>
    <xf numFmtId="0" fontId="5" fillId="0" borderId="0" xfId="60" applyFont="1" applyBorder="1">
      <alignment/>
      <protection/>
    </xf>
    <xf numFmtId="204" fontId="12" fillId="0" borderId="0" xfId="44" applyNumberFormat="1" applyFont="1" applyAlignment="1">
      <alignment/>
    </xf>
    <xf numFmtId="0" fontId="4" fillId="0" borderId="0" xfId="60" applyFont="1">
      <alignment/>
      <protection/>
    </xf>
    <xf numFmtId="0" fontId="4" fillId="0" borderId="0" xfId="61" applyBorder="1" applyAlignment="1">
      <alignment horizontal="center" vertical="center"/>
      <protection/>
    </xf>
    <xf numFmtId="0" fontId="14" fillId="0" borderId="0" xfId="61" applyFont="1" applyBorder="1" applyAlignment="1">
      <alignment horizontal="right"/>
      <protection/>
    </xf>
    <xf numFmtId="0" fontId="7" fillId="0" borderId="0" xfId="61" applyFont="1" applyBorder="1" applyAlignment="1">
      <alignment horizontal="left"/>
      <protection/>
    </xf>
    <xf numFmtId="0" fontId="14" fillId="0" borderId="0" xfId="61" applyFont="1" applyBorder="1" applyAlignment="1">
      <alignment horizontal="center"/>
      <protection/>
    </xf>
    <xf numFmtId="0" fontId="6" fillId="0" borderId="0" xfId="61" applyFont="1" applyBorder="1" applyAlignment="1">
      <alignment horizontal="center"/>
      <protection/>
    </xf>
    <xf numFmtId="0" fontId="6" fillId="0" borderId="0" xfId="61" applyFont="1" applyBorder="1" applyAlignment="1">
      <alignment horizontal="center" vertical="center"/>
      <protection/>
    </xf>
    <xf numFmtId="0" fontId="12" fillId="0" borderId="0" xfId="61" applyFont="1" applyAlignment="1">
      <alignment horizontal="center" vertical="center"/>
      <protection/>
    </xf>
    <xf numFmtId="0" fontId="4" fillId="0" borderId="0" xfId="61" applyAlignment="1">
      <alignment horizontal="center"/>
      <protection/>
    </xf>
    <xf numFmtId="0" fontId="4" fillId="0" borderId="0" xfId="61" applyAlignment="1">
      <alignment horizontal="center" vertical="center"/>
      <protection/>
    </xf>
    <xf numFmtId="0" fontId="7" fillId="0" borderId="0" xfId="61" applyFont="1">
      <alignment/>
      <protection/>
    </xf>
    <xf numFmtId="0" fontId="26" fillId="0" borderId="0" xfId="61" applyFont="1">
      <alignment/>
      <protection/>
    </xf>
    <xf numFmtId="0" fontId="5" fillId="0" borderId="14" xfId="61" applyFont="1" applyBorder="1" applyAlignment="1">
      <alignment vertical="center"/>
      <protection/>
    </xf>
    <xf numFmtId="0" fontId="11" fillId="0" borderId="14" xfId="61" applyFont="1" applyBorder="1" applyAlignment="1">
      <alignment vertical="center"/>
      <protection/>
    </xf>
    <xf numFmtId="204" fontId="11" fillId="0" borderId="14" xfId="46" applyNumberFormat="1" applyFont="1" applyBorder="1" applyAlignment="1">
      <alignment vertical="center"/>
    </xf>
    <xf numFmtId="0" fontId="11" fillId="0" borderId="0" xfId="61" applyFont="1" applyBorder="1" applyAlignment="1">
      <alignment vertical="center"/>
      <protection/>
    </xf>
    <xf numFmtId="0" fontId="11" fillId="0" borderId="11" xfId="61" applyFont="1" applyBorder="1" applyAlignment="1">
      <alignment vertical="center"/>
      <protection/>
    </xf>
    <xf numFmtId="0" fontId="5" fillId="0" borderId="0" xfId="61" applyFont="1" applyBorder="1" applyAlignment="1">
      <alignment vertical="center"/>
      <protection/>
    </xf>
    <xf numFmtId="0" fontId="5" fillId="0" borderId="12" xfId="61" applyFont="1" applyBorder="1" applyAlignment="1">
      <alignment vertical="center"/>
      <protection/>
    </xf>
    <xf numFmtId="0" fontId="5" fillId="0" borderId="15" xfId="61" applyFont="1" applyBorder="1" applyAlignment="1">
      <alignment horizontal="center" vertical="center"/>
      <protection/>
    </xf>
    <xf numFmtId="204" fontId="5" fillId="0" borderId="15" xfId="46" applyNumberFormat="1" applyFont="1" applyBorder="1" applyAlignment="1">
      <alignment vertical="center"/>
    </xf>
    <xf numFmtId="0" fontId="0" fillId="0" borderId="0" xfId="0" applyFont="1" applyAlignment="1">
      <alignment/>
    </xf>
    <xf numFmtId="204" fontId="0" fillId="0" borderId="0" xfId="0" applyNumberFormat="1" applyFont="1" applyAlignment="1">
      <alignment/>
    </xf>
    <xf numFmtId="203" fontId="0" fillId="0" borderId="0" xfId="45" applyNumberFormat="1" applyFont="1" applyAlignment="1">
      <alignment/>
    </xf>
    <xf numFmtId="0" fontId="4" fillId="0" borderId="0" xfId="61" applyFont="1">
      <alignment/>
      <protection/>
    </xf>
    <xf numFmtId="0" fontId="4" fillId="0" borderId="0" xfId="60" applyFont="1" applyAlignment="1">
      <alignment horizontal="center"/>
      <protection/>
    </xf>
    <xf numFmtId="204" fontId="4" fillId="0" borderId="0" xfId="45" applyNumberFormat="1" applyFont="1" applyAlignment="1">
      <alignment/>
    </xf>
    <xf numFmtId="204" fontId="4" fillId="0" borderId="0" xfId="45" applyNumberFormat="1" applyFont="1" applyAlignment="1">
      <alignment horizontal="center"/>
    </xf>
    <xf numFmtId="0" fontId="11" fillId="0" borderId="0" xfId="60" applyFont="1">
      <alignment/>
      <protection/>
    </xf>
    <xf numFmtId="0" fontId="26" fillId="0" borderId="0" xfId="61" applyFont="1">
      <alignment/>
      <protection/>
    </xf>
    <xf numFmtId="0" fontId="11" fillId="0" borderId="0" xfId="61" applyFont="1" applyBorder="1" applyAlignment="1">
      <alignment horizontal="left"/>
      <protection/>
    </xf>
    <xf numFmtId="0" fontId="26" fillId="0" borderId="0" xfId="61" applyFont="1" applyBorder="1" applyAlignment="1">
      <alignment horizontal="left"/>
      <protection/>
    </xf>
    <xf numFmtId="0" fontId="11" fillId="0" borderId="0" xfId="61" applyFont="1" applyBorder="1" applyAlignment="1">
      <alignment horizontal="center" vertical="center"/>
      <protection/>
    </xf>
    <xf numFmtId="0" fontId="7" fillId="0" borderId="0" xfId="61" applyFont="1" applyBorder="1" applyAlignment="1">
      <alignment vertical="center"/>
      <protection/>
    </xf>
    <xf numFmtId="0" fontId="7" fillId="0" borderId="0" xfId="61" applyFont="1" applyBorder="1" applyAlignment="1">
      <alignment horizontal="center" vertical="center"/>
      <protection/>
    </xf>
    <xf numFmtId="0" fontId="7" fillId="0" borderId="0" xfId="61" applyFont="1" applyBorder="1">
      <alignment/>
      <protection/>
    </xf>
    <xf numFmtId="0" fontId="7" fillId="0" borderId="0" xfId="61" applyFont="1" applyBorder="1" applyAlignment="1">
      <alignment horizontal="center"/>
      <protection/>
    </xf>
    <xf numFmtId="204" fontId="5" fillId="0" borderId="13" xfId="46" applyNumberFormat="1" applyFont="1" applyBorder="1" applyAlignment="1">
      <alignment horizontal="center" vertical="center"/>
    </xf>
    <xf numFmtId="0" fontId="5" fillId="0" borderId="12" xfId="60" applyFont="1" applyBorder="1">
      <alignment/>
      <protection/>
    </xf>
    <xf numFmtId="204" fontId="4" fillId="0" borderId="0" xfId="60" applyNumberFormat="1">
      <alignment/>
      <protection/>
    </xf>
    <xf numFmtId="0" fontId="5" fillId="0" borderId="16" xfId="60" applyFont="1" applyBorder="1">
      <alignment/>
      <protection/>
    </xf>
    <xf numFmtId="209" fontId="5" fillId="0" borderId="0" xfId="42" applyNumberFormat="1" applyFont="1" applyBorder="1" applyAlignment="1">
      <alignment horizontal="center"/>
    </xf>
    <xf numFmtId="204" fontId="5" fillId="0" borderId="0" xfId="60" applyNumberFormat="1" applyFont="1" applyBorder="1" applyAlignment="1">
      <alignment horizontal="center"/>
      <protection/>
    </xf>
    <xf numFmtId="0" fontId="5" fillId="0" borderId="0" xfId="60" applyFont="1" applyAlignment="1">
      <alignment horizontal="right"/>
      <protection/>
    </xf>
    <xf numFmtId="0" fontId="11" fillId="0" borderId="0" xfId="60" applyFont="1" applyBorder="1" applyAlignment="1">
      <alignment horizontal="center"/>
      <protection/>
    </xf>
    <xf numFmtId="0" fontId="11" fillId="0" borderId="0" xfId="60" applyFont="1" applyBorder="1" applyAlignment="1">
      <alignment horizontal="right"/>
      <protection/>
    </xf>
    <xf numFmtId="204" fontId="26" fillId="0" borderId="0" xfId="45" applyNumberFormat="1" applyFont="1" applyBorder="1" applyAlignment="1">
      <alignment horizontal="center"/>
    </xf>
    <xf numFmtId="204" fontId="26" fillId="0" borderId="0" xfId="45" applyNumberFormat="1" applyFont="1" applyBorder="1" applyAlignment="1">
      <alignment/>
    </xf>
    <xf numFmtId="204" fontId="5" fillId="0" borderId="15" xfId="60" applyNumberFormat="1" applyFont="1" applyBorder="1" applyAlignment="1">
      <alignment horizontal="center"/>
      <protection/>
    </xf>
    <xf numFmtId="204" fontId="5" fillId="0" borderId="15" xfId="45" applyNumberFormat="1" applyFont="1" applyBorder="1" applyAlignment="1">
      <alignment horizontal="center"/>
    </xf>
    <xf numFmtId="204" fontId="16" fillId="0" borderId="10" xfId="45" applyNumberFormat="1" applyFont="1" applyBorder="1" applyAlignment="1">
      <alignment horizontal="center"/>
    </xf>
    <xf numFmtId="204" fontId="5" fillId="0" borderId="11" xfId="45" applyNumberFormat="1" applyFont="1" applyBorder="1" applyAlignment="1">
      <alignment horizontal="center"/>
    </xf>
    <xf numFmtId="204" fontId="5" fillId="0" borderId="0" xfId="60" applyNumberFormat="1" applyFont="1" applyBorder="1">
      <alignment/>
      <protection/>
    </xf>
    <xf numFmtId="0" fontId="4" fillId="0" borderId="0" xfId="60" applyFont="1">
      <alignment/>
      <protection/>
    </xf>
    <xf numFmtId="0" fontId="5" fillId="0" borderId="11" xfId="60" applyFont="1" applyBorder="1">
      <alignment/>
      <protection/>
    </xf>
    <xf numFmtId="204" fontId="5" fillId="0" borderId="0" xfId="46" applyNumberFormat="1" applyFont="1" applyBorder="1" applyAlignment="1">
      <alignment horizontal="right"/>
    </xf>
    <xf numFmtId="204" fontId="5" fillId="0" borderId="0" xfId="46" applyNumberFormat="1" applyFont="1" applyBorder="1" applyAlignment="1">
      <alignment horizontal="center"/>
    </xf>
    <xf numFmtId="0" fontId="5" fillId="0" borderId="11" xfId="60" applyFont="1" applyBorder="1">
      <alignment/>
      <protection/>
    </xf>
    <xf numFmtId="204" fontId="11" fillId="0" borderId="10" xfId="45" applyNumberFormat="1" applyFont="1" applyBorder="1" applyAlignment="1">
      <alignment horizontal="right"/>
    </xf>
    <xf numFmtId="204" fontId="11" fillId="0" borderId="0" xfId="46" applyNumberFormat="1" applyFont="1" applyBorder="1" applyAlignment="1">
      <alignment vertical="center"/>
    </xf>
    <xf numFmtId="204" fontId="11" fillId="0" borderId="0" xfId="46" applyNumberFormat="1" applyFont="1" applyBorder="1" applyAlignment="1">
      <alignment horizontal="right" vertical="center"/>
    </xf>
    <xf numFmtId="0" fontId="11" fillId="0" borderId="0" xfId="61" applyFont="1" applyBorder="1" applyAlignment="1">
      <alignment horizontal="right" vertical="center"/>
      <protection/>
    </xf>
    <xf numFmtId="204" fontId="5" fillId="0" borderId="0" xfId="61" applyNumberFormat="1" applyFont="1" applyBorder="1" applyAlignment="1">
      <alignment vertical="center"/>
      <protection/>
    </xf>
    <xf numFmtId="204" fontId="5" fillId="0" borderId="10" xfId="61" applyNumberFormat="1" applyFont="1" applyBorder="1" applyAlignment="1">
      <alignment vertical="center"/>
      <protection/>
    </xf>
    <xf numFmtId="0" fontId="11" fillId="0" borderId="0" xfId="61" applyFont="1" applyBorder="1" applyAlignment="1">
      <alignment vertical="center"/>
      <protection/>
    </xf>
    <xf numFmtId="204" fontId="11" fillId="0" borderId="10" xfId="46" applyNumberFormat="1" applyFont="1" applyBorder="1" applyAlignment="1">
      <alignment vertical="center"/>
    </xf>
    <xf numFmtId="0" fontId="11" fillId="0" borderId="0" xfId="60" applyFont="1" applyBorder="1" applyAlignment="1">
      <alignment horizontal="center"/>
      <protection/>
    </xf>
    <xf numFmtId="0" fontId="11" fillId="0" borderId="11" xfId="60" applyFont="1" applyBorder="1" applyAlignment="1">
      <alignment horizontal="center"/>
      <protection/>
    </xf>
    <xf numFmtId="204" fontId="5" fillId="0" borderId="0" xfId="61" applyNumberFormat="1" applyFont="1" applyBorder="1" applyAlignment="1">
      <alignment horizontal="center"/>
      <protection/>
    </xf>
    <xf numFmtId="204" fontId="5" fillId="0" borderId="11" xfId="61" applyNumberFormat="1" applyFont="1" applyBorder="1" applyAlignment="1">
      <alignment horizontal="center"/>
      <protection/>
    </xf>
    <xf numFmtId="0" fontId="0" fillId="0" borderId="0" xfId="0" applyBorder="1" applyAlignment="1">
      <alignment/>
    </xf>
    <xf numFmtId="0" fontId="29" fillId="0" borderId="0" xfId="60" applyFont="1">
      <alignment/>
      <protection/>
    </xf>
    <xf numFmtId="204" fontId="16" fillId="0" borderId="15" xfId="68" applyNumberFormat="1" applyFont="1" applyBorder="1" applyAlignment="1">
      <alignment vertical="center"/>
      <protection/>
    </xf>
    <xf numFmtId="0" fontId="29" fillId="0" borderId="0" xfId="60" applyFont="1" applyFill="1">
      <alignment/>
      <protection/>
    </xf>
    <xf numFmtId="0" fontId="29" fillId="0" borderId="12" xfId="0" applyFont="1" applyBorder="1" applyAlignment="1">
      <alignment horizontal="left"/>
    </xf>
    <xf numFmtId="0" fontId="29" fillId="0" borderId="0" xfId="61" applyFont="1" applyBorder="1" applyAlignment="1">
      <alignment horizontal="left"/>
      <protection/>
    </xf>
    <xf numFmtId="0" fontId="29" fillId="0" borderId="0" xfId="61" applyFont="1">
      <alignment/>
      <protection/>
    </xf>
    <xf numFmtId="194" fontId="1" fillId="0" borderId="0" xfId="42" applyFont="1" applyAlignment="1">
      <alignment/>
    </xf>
    <xf numFmtId="207" fontId="1" fillId="0" borderId="0" xfId="42" applyNumberFormat="1" applyFont="1" applyAlignment="1">
      <alignment/>
    </xf>
    <xf numFmtId="0" fontId="10" fillId="0" borderId="0" xfId="0" applyFont="1" applyAlignment="1">
      <alignment/>
    </xf>
    <xf numFmtId="0" fontId="10" fillId="0" borderId="0" xfId="61" applyFont="1">
      <alignment/>
      <protection/>
    </xf>
    <xf numFmtId="0" fontId="25" fillId="0" borderId="0" xfId="0" applyFont="1" applyBorder="1" applyAlignment="1">
      <alignment/>
    </xf>
    <xf numFmtId="0" fontId="7" fillId="0" borderId="0" xfId="61" applyFont="1" applyFill="1" applyBorder="1">
      <alignment/>
      <protection/>
    </xf>
    <xf numFmtId="0" fontId="7" fillId="0" borderId="0" xfId="61" applyFont="1" applyFill="1" applyBorder="1" applyAlignment="1">
      <alignment vertical="center"/>
      <protection/>
    </xf>
    <xf numFmtId="0" fontId="7" fillId="0" borderId="0" xfId="60" applyFont="1" applyFill="1" applyBorder="1">
      <alignment/>
      <protection/>
    </xf>
    <xf numFmtId="0" fontId="14" fillId="0" borderId="0" xfId="61" applyFont="1" applyFill="1" applyBorder="1" applyAlignment="1">
      <alignment horizontal="center"/>
      <protection/>
    </xf>
    <xf numFmtId="0" fontId="0" fillId="0" borderId="0" xfId="0" applyFill="1" applyAlignment="1">
      <alignment/>
    </xf>
    <xf numFmtId="0" fontId="12" fillId="0" borderId="0" xfId="61" applyFont="1" applyFill="1">
      <alignment/>
      <protection/>
    </xf>
    <xf numFmtId="0" fontId="4" fillId="0" borderId="0" xfId="61" applyFill="1">
      <alignment/>
      <protection/>
    </xf>
    <xf numFmtId="0" fontId="5" fillId="0" borderId="0" xfId="61" applyFont="1" applyBorder="1" applyAlignment="1">
      <alignment horizontal="left"/>
      <protection/>
    </xf>
    <xf numFmtId="204" fontId="0" fillId="0" borderId="0" xfId="0" applyNumberFormat="1" applyFont="1" applyAlignment="1">
      <alignment/>
    </xf>
    <xf numFmtId="0" fontId="0" fillId="0" borderId="12" xfId="0" applyFont="1" applyBorder="1" applyAlignment="1">
      <alignment/>
    </xf>
    <xf numFmtId="0" fontId="7" fillId="0" borderId="0" xfId="60" applyFont="1" applyFill="1">
      <alignment/>
      <protection/>
    </xf>
    <xf numFmtId="0" fontId="7" fillId="0" borderId="0" xfId="0" applyFont="1" applyAlignment="1">
      <alignment horizontal="right"/>
    </xf>
    <xf numFmtId="0" fontId="26" fillId="0" borderId="0" xfId="60" applyFont="1" applyBorder="1" applyAlignment="1">
      <alignment horizontal="left"/>
      <protection/>
    </xf>
    <xf numFmtId="0" fontId="0" fillId="0" borderId="0" xfId="0" applyFont="1" applyFill="1" applyAlignment="1">
      <alignment/>
    </xf>
    <xf numFmtId="0" fontId="12" fillId="0" borderId="10" xfId="60" applyFont="1" applyBorder="1">
      <alignment/>
      <protection/>
    </xf>
    <xf numFmtId="0" fontId="26" fillId="0" borderId="0" xfId="60" applyFont="1" applyAlignment="1">
      <alignment horizontal="center"/>
      <protection/>
    </xf>
    <xf numFmtId="0" fontId="27" fillId="0" borderId="12" xfId="0" applyFont="1" applyBorder="1" applyAlignment="1">
      <alignment/>
    </xf>
    <xf numFmtId="0" fontId="11" fillId="0" borderId="0" xfId="60" applyFont="1" applyFill="1" applyBorder="1" applyAlignment="1">
      <alignment horizontal="left"/>
      <protection/>
    </xf>
    <xf numFmtId="0" fontId="11" fillId="0" borderId="0" xfId="61" applyFont="1" applyBorder="1" applyAlignment="1">
      <alignment horizontal="center"/>
      <protection/>
    </xf>
    <xf numFmtId="0" fontId="31" fillId="0" borderId="0" xfId="61" applyFont="1" applyBorder="1" applyAlignment="1">
      <alignment horizontal="center" vertical="center"/>
      <protection/>
    </xf>
    <xf numFmtId="0" fontId="26" fillId="0" borderId="0" xfId="61" applyFont="1" applyAlignment="1">
      <alignment horizontal="center"/>
      <protection/>
    </xf>
    <xf numFmtId="0" fontId="26" fillId="0" borderId="0" xfId="61" applyFont="1" applyAlignment="1">
      <alignment horizontal="center"/>
      <protection/>
    </xf>
    <xf numFmtId="0" fontId="15" fillId="0" borderId="0" xfId="60" applyFont="1">
      <alignment/>
      <protection/>
    </xf>
    <xf numFmtId="15" fontId="15" fillId="0" borderId="0" xfId="60" applyNumberFormat="1" applyFont="1">
      <alignment/>
      <protection/>
    </xf>
    <xf numFmtId="204" fontId="15" fillId="0" borderId="0" xfId="45" applyNumberFormat="1" applyFont="1" applyAlignment="1">
      <alignment horizontal="center"/>
    </xf>
    <xf numFmtId="0" fontId="5" fillId="0" borderId="15" xfId="60" applyFont="1" applyBorder="1" applyAlignment="1">
      <alignment horizontal="center"/>
      <protection/>
    </xf>
    <xf numFmtId="0" fontId="7" fillId="0" borderId="16" xfId="60" applyFont="1" applyBorder="1" applyAlignment="1">
      <alignment horizontal="right"/>
      <protection/>
    </xf>
    <xf numFmtId="0" fontId="7" fillId="0" borderId="0" xfId="61" applyFont="1" applyBorder="1" applyAlignment="1">
      <alignment horizontal="center" vertical="center"/>
      <protection/>
    </xf>
    <xf numFmtId="204" fontId="26" fillId="0" borderId="0" xfId="45" applyNumberFormat="1" applyFont="1" applyAlignment="1">
      <alignment horizontal="center"/>
    </xf>
    <xf numFmtId="0" fontId="22" fillId="0" borderId="0" xfId="61" applyFont="1" applyBorder="1" applyAlignment="1">
      <alignment vertical="center"/>
      <protection/>
    </xf>
    <xf numFmtId="0" fontId="22" fillId="0" borderId="0" xfId="61" applyFont="1" applyBorder="1" applyAlignment="1">
      <alignment horizontal="center" vertical="center"/>
      <protection/>
    </xf>
    <xf numFmtId="4" fontId="11" fillId="0" borderId="0" xfId="46" applyNumberFormat="1" applyFont="1" applyBorder="1" applyAlignment="1">
      <alignment vertical="center"/>
    </xf>
    <xf numFmtId="204" fontId="0" fillId="0" borderId="0" xfId="0" applyNumberFormat="1" applyAlignment="1">
      <alignment/>
    </xf>
    <xf numFmtId="209" fontId="1" fillId="0" borderId="0" xfId="42" applyNumberFormat="1" applyFont="1" applyAlignment="1">
      <alignment/>
    </xf>
    <xf numFmtId="0" fontId="0" fillId="0" borderId="0" xfId="0" applyFont="1" applyBorder="1" applyAlignment="1">
      <alignment/>
    </xf>
    <xf numFmtId="0" fontId="26" fillId="0" borderId="0" xfId="61" applyFont="1" applyBorder="1" applyAlignment="1">
      <alignment horizontal="left" vertical="top" wrapText="1"/>
      <protection/>
    </xf>
    <xf numFmtId="0" fontId="7" fillId="0" borderId="10" xfId="61" applyFont="1" applyBorder="1">
      <alignment/>
      <protection/>
    </xf>
    <xf numFmtId="0" fontId="25" fillId="0" borderId="10" xfId="0" applyFont="1" applyBorder="1" applyAlignment="1">
      <alignment/>
    </xf>
    <xf numFmtId="0" fontId="5" fillId="0" borderId="0" xfId="61" applyFont="1" applyBorder="1" applyAlignment="1">
      <alignment horizontal="center"/>
      <protection/>
    </xf>
    <xf numFmtId="0" fontId="5" fillId="0" borderId="0" xfId="61" applyFont="1" applyBorder="1">
      <alignment/>
      <protection/>
    </xf>
    <xf numFmtId="0" fontId="5" fillId="0" borderId="0" xfId="61" applyFont="1" applyBorder="1" applyAlignment="1">
      <alignment horizontal="center" vertical="center"/>
      <protection/>
    </xf>
    <xf numFmtId="0" fontId="15" fillId="0" borderId="0" xfId="0" applyFont="1" applyBorder="1" applyAlignment="1">
      <alignment/>
    </xf>
    <xf numFmtId="0" fontId="5" fillId="0" borderId="0" xfId="0" applyFont="1" applyAlignment="1">
      <alignment horizontal="left"/>
    </xf>
    <xf numFmtId="0" fontId="5" fillId="0" borderId="0" xfId="60" applyFont="1" applyAlignment="1">
      <alignment horizontal="left"/>
      <protection/>
    </xf>
    <xf numFmtId="0" fontId="11" fillId="0" borderId="11" xfId="60" applyFont="1" applyBorder="1">
      <alignment/>
      <protection/>
    </xf>
    <xf numFmtId="0" fontId="11" fillId="0" borderId="11" xfId="60" applyFont="1" applyBorder="1" applyAlignment="1">
      <alignment horizontal="center"/>
      <protection/>
    </xf>
    <xf numFmtId="204" fontId="5" fillId="0" borderId="0" xfId="60" applyNumberFormat="1" applyFont="1" applyBorder="1" applyAlignment="1">
      <alignment horizontal="right"/>
      <protection/>
    </xf>
    <xf numFmtId="204" fontId="5" fillId="0" borderId="15" xfId="60" applyNumberFormat="1" applyFont="1" applyBorder="1" applyAlignment="1">
      <alignment horizontal="right"/>
      <protection/>
    </xf>
    <xf numFmtId="0" fontId="12" fillId="0" borderId="0" xfId="60" applyFont="1" applyFill="1">
      <alignment/>
      <protection/>
    </xf>
    <xf numFmtId="0" fontId="16" fillId="0" borderId="0" xfId="60" applyFont="1" applyFill="1" applyBorder="1">
      <alignment/>
      <protection/>
    </xf>
    <xf numFmtId="204" fontId="0" fillId="0" borderId="0" xfId="0" applyNumberFormat="1" applyFont="1" applyFill="1" applyAlignment="1">
      <alignment/>
    </xf>
    <xf numFmtId="0" fontId="13" fillId="0" borderId="0" xfId="60" applyFont="1" applyFill="1">
      <alignment/>
      <protection/>
    </xf>
    <xf numFmtId="0" fontId="5" fillId="33" borderId="17" xfId="61" applyFont="1" applyFill="1" applyBorder="1" applyAlignment="1">
      <alignment horizontal="center" vertical="center"/>
      <protection/>
    </xf>
    <xf numFmtId="0" fontId="5" fillId="33" borderId="17" xfId="61" applyFont="1" applyFill="1" applyBorder="1" applyAlignment="1">
      <alignment horizontal="center" vertical="center"/>
      <protection/>
    </xf>
    <xf numFmtId="0" fontId="5" fillId="33" borderId="17" xfId="61" applyFont="1" applyFill="1" applyBorder="1" applyAlignment="1">
      <alignment vertical="center"/>
      <protection/>
    </xf>
    <xf numFmtId="0" fontId="5" fillId="33" borderId="17" xfId="61" applyFont="1" applyFill="1" applyBorder="1" applyAlignment="1">
      <alignment horizontal="center" vertical="top" wrapText="1"/>
      <protection/>
    </xf>
    <xf numFmtId="0" fontId="5" fillId="33" borderId="17" xfId="61" applyFont="1" applyFill="1" applyBorder="1" applyAlignment="1">
      <alignment vertical="top" wrapText="1"/>
      <protection/>
    </xf>
    <xf numFmtId="0" fontId="5" fillId="33" borderId="17" xfId="61" applyFont="1" applyFill="1" applyBorder="1" applyAlignment="1">
      <alignment horizontal="center" vertical="top"/>
      <protection/>
    </xf>
    <xf numFmtId="0" fontId="5" fillId="33" borderId="16" xfId="61" applyFont="1" applyFill="1" applyBorder="1" applyAlignment="1">
      <alignment horizontal="center" vertical="center"/>
      <protection/>
    </xf>
    <xf numFmtId="0" fontId="26" fillId="0" borderId="11" xfId="60" applyFont="1" applyBorder="1">
      <alignment/>
      <protection/>
    </xf>
    <xf numFmtId="0" fontId="0" fillId="0" borderId="11" xfId="0" applyBorder="1" applyAlignment="1">
      <alignment/>
    </xf>
    <xf numFmtId="0" fontId="5" fillId="33" borderId="10" xfId="61" applyFont="1" applyFill="1" applyBorder="1" applyAlignment="1">
      <alignment vertical="top" wrapText="1"/>
      <protection/>
    </xf>
    <xf numFmtId="0" fontId="5" fillId="0" borderId="0" xfId="60" applyFont="1" applyBorder="1" applyAlignment="1">
      <alignment vertical="top"/>
      <protection/>
    </xf>
    <xf numFmtId="204" fontId="11" fillId="0" borderId="0" xfId="45" applyNumberFormat="1" applyFont="1" applyBorder="1" applyAlignment="1">
      <alignment horizontal="right" vertical="top"/>
    </xf>
    <xf numFmtId="0" fontId="26" fillId="0" borderId="0" xfId="0" applyFont="1" applyAlignment="1">
      <alignment horizontal="center" vertical="top"/>
    </xf>
    <xf numFmtId="204" fontId="28" fillId="0" borderId="18" xfId="45" applyNumberFormat="1" applyFont="1" applyBorder="1" applyAlignment="1">
      <alignment horizontal="center" textRotation="78" wrapText="1"/>
    </xf>
    <xf numFmtId="0" fontId="5" fillId="0" borderId="15" xfId="60" applyFont="1" applyBorder="1">
      <alignment/>
      <protection/>
    </xf>
    <xf numFmtId="0" fontId="13" fillId="0" borderId="11" xfId="60" applyFont="1" applyBorder="1">
      <alignment/>
      <protection/>
    </xf>
    <xf numFmtId="0" fontId="14" fillId="0" borderId="0" xfId="60" applyFont="1" applyBorder="1" applyAlignment="1">
      <alignment horizontal="center"/>
      <protection/>
    </xf>
    <xf numFmtId="204" fontId="14" fillId="0" borderId="0" xfId="45" applyNumberFormat="1" applyFont="1" applyBorder="1" applyAlignment="1">
      <alignment/>
    </xf>
    <xf numFmtId="204" fontId="14" fillId="0" borderId="0" xfId="45" applyNumberFormat="1" applyFont="1" applyBorder="1" applyAlignment="1">
      <alignment horizontal="center"/>
    </xf>
    <xf numFmtId="204" fontId="26" fillId="0" borderId="11" xfId="45" applyNumberFormat="1" applyFont="1" applyBorder="1" applyAlignment="1">
      <alignment horizontal="center"/>
    </xf>
    <xf numFmtId="204" fontId="26" fillId="0" borderId="11" xfId="45" applyNumberFormat="1" applyFont="1" applyBorder="1" applyAlignment="1">
      <alignment/>
    </xf>
    <xf numFmtId="0" fontId="12" fillId="0" borderId="11" xfId="60" applyFont="1" applyBorder="1">
      <alignment/>
      <protection/>
    </xf>
    <xf numFmtId="204" fontId="4" fillId="0" borderId="11" xfId="45" applyNumberFormat="1" applyFont="1" applyBorder="1" applyAlignment="1">
      <alignment horizontal="center"/>
    </xf>
    <xf numFmtId="0" fontId="4" fillId="0" borderId="11" xfId="60" applyBorder="1">
      <alignment/>
      <protection/>
    </xf>
    <xf numFmtId="204" fontId="5" fillId="0" borderId="11" xfId="46" applyNumberFormat="1" applyFont="1" applyBorder="1" applyAlignment="1">
      <alignment horizontal="right"/>
    </xf>
    <xf numFmtId="204" fontId="5" fillId="0" borderId="11" xfId="46" applyNumberFormat="1" applyFont="1" applyBorder="1" applyAlignment="1">
      <alignment horizontal="center"/>
    </xf>
    <xf numFmtId="204" fontId="5" fillId="0" borderId="11" xfId="60" applyNumberFormat="1" applyFont="1" applyBorder="1">
      <alignment/>
      <protection/>
    </xf>
    <xf numFmtId="0" fontId="10" fillId="0" borderId="11" xfId="60" applyFont="1" applyBorder="1">
      <alignment/>
      <protection/>
    </xf>
    <xf numFmtId="204" fontId="7" fillId="0" borderId="11" xfId="68" applyNumberFormat="1" applyFont="1" applyBorder="1" applyAlignment="1">
      <alignment horizontal="right"/>
      <protection/>
    </xf>
    <xf numFmtId="204" fontId="0" fillId="0" borderId="11" xfId="0" applyNumberFormat="1" applyFont="1" applyBorder="1" applyAlignment="1">
      <alignment/>
    </xf>
    <xf numFmtId="203" fontId="0" fillId="0" borderId="11" xfId="45" applyNumberFormat="1" applyFont="1" applyBorder="1" applyAlignment="1">
      <alignment/>
    </xf>
    <xf numFmtId="0" fontId="0" fillId="0" borderId="11" xfId="0" applyFont="1" applyBorder="1" applyAlignment="1">
      <alignment/>
    </xf>
    <xf numFmtId="0" fontId="12" fillId="0" borderId="11" xfId="60" applyFont="1" applyFill="1" applyBorder="1">
      <alignment/>
      <protection/>
    </xf>
    <xf numFmtId="0" fontId="0" fillId="0" borderId="11" xfId="0" applyFont="1" applyBorder="1" applyAlignment="1">
      <alignment/>
    </xf>
    <xf numFmtId="203" fontId="13" fillId="0" borderId="11" xfId="45" applyNumberFormat="1" applyFont="1" applyBorder="1" applyAlignment="1">
      <alignment/>
    </xf>
    <xf numFmtId="0" fontId="23" fillId="0" borderId="11" xfId="0" applyFont="1" applyBorder="1" applyAlignment="1">
      <alignment/>
    </xf>
    <xf numFmtId="0" fontId="24" fillId="0" borderId="11" xfId="0" applyFont="1" applyBorder="1" applyAlignment="1">
      <alignment/>
    </xf>
    <xf numFmtId="0" fontId="4" fillId="0" borderId="0" xfId="61" applyFont="1" applyBorder="1">
      <alignment/>
      <protection/>
    </xf>
    <xf numFmtId="203" fontId="10" fillId="0" borderId="11" xfId="45" applyNumberFormat="1" applyFont="1" applyBorder="1" applyAlignment="1">
      <alignment/>
    </xf>
    <xf numFmtId="0" fontId="11" fillId="0" borderId="11" xfId="61" applyFont="1" applyBorder="1" applyAlignment="1">
      <alignment horizontal="right"/>
      <protection/>
    </xf>
    <xf numFmtId="0" fontId="4" fillId="0" borderId="11" xfId="61" applyFont="1" applyBorder="1">
      <alignment/>
      <protection/>
    </xf>
    <xf numFmtId="0" fontId="0" fillId="0" borderId="15" xfId="0" applyFont="1" applyBorder="1" applyAlignment="1">
      <alignment/>
    </xf>
    <xf numFmtId="203" fontId="12" fillId="0" borderId="0" xfId="44" applyNumberFormat="1" applyFont="1" applyAlignment="1">
      <alignment/>
    </xf>
    <xf numFmtId="203" fontId="1" fillId="0" borderId="0" xfId="0" applyNumberFormat="1" applyFont="1" applyAlignment="1">
      <alignment/>
    </xf>
    <xf numFmtId="203" fontId="0" fillId="0" borderId="0" xfId="0" applyNumberFormat="1" applyFont="1" applyAlignment="1">
      <alignment/>
    </xf>
    <xf numFmtId="203" fontId="4" fillId="0" borderId="0" xfId="60" applyNumberFormat="1" applyFont="1">
      <alignment/>
      <protection/>
    </xf>
    <xf numFmtId="206" fontId="5" fillId="33" borderId="17" xfId="61" applyNumberFormat="1" applyFont="1" applyFill="1" applyBorder="1" applyAlignment="1">
      <alignment horizontal="right" vertical="center"/>
      <protection/>
    </xf>
    <xf numFmtId="206" fontId="5" fillId="33" borderId="17" xfId="61" applyNumberFormat="1" applyFont="1" applyFill="1" applyBorder="1" applyAlignment="1">
      <alignment horizontal="right" vertical="center"/>
      <protection/>
    </xf>
    <xf numFmtId="206" fontId="5" fillId="33" borderId="17" xfId="61" applyNumberFormat="1" applyFont="1" applyFill="1" applyBorder="1" applyAlignment="1">
      <alignment horizontal="right" vertical="top"/>
      <protection/>
    </xf>
    <xf numFmtId="206" fontId="5" fillId="0" borderId="15" xfId="46" applyNumberFormat="1" applyFont="1" applyBorder="1" applyAlignment="1">
      <alignment vertical="center"/>
    </xf>
    <xf numFmtId="0" fontId="5" fillId="0" borderId="0" xfId="61" applyFont="1" applyBorder="1" applyAlignment="1">
      <alignment horizontal="left" vertical="top" wrapText="1"/>
      <protection/>
    </xf>
    <xf numFmtId="206" fontId="11" fillId="0" borderId="0" xfId="46" applyNumberFormat="1" applyFont="1" applyBorder="1" applyAlignment="1">
      <alignment vertical="center"/>
    </xf>
    <xf numFmtId="206" fontId="11" fillId="0" borderId="0" xfId="45" applyNumberFormat="1" applyFont="1" applyBorder="1" applyAlignment="1">
      <alignment/>
    </xf>
    <xf numFmtId="206" fontId="31" fillId="0" borderId="0" xfId="46" applyNumberFormat="1" applyFont="1" applyBorder="1" applyAlignment="1">
      <alignment vertical="center"/>
    </xf>
    <xf numFmtId="206" fontId="4" fillId="0" borderId="0" xfId="61" applyNumberFormat="1">
      <alignment/>
      <protection/>
    </xf>
    <xf numFmtId="206" fontId="5" fillId="0" borderId="0" xfId="42" applyNumberFormat="1" applyFont="1" applyBorder="1" applyAlignment="1">
      <alignment horizontal="right"/>
    </xf>
    <xf numFmtId="206" fontId="7" fillId="0" borderId="0" xfId="46" applyNumberFormat="1" applyFont="1" applyBorder="1" applyAlignment="1">
      <alignment/>
    </xf>
    <xf numFmtId="206" fontId="0" fillId="0" borderId="0" xfId="0" applyNumberFormat="1" applyAlignment="1">
      <alignment/>
    </xf>
    <xf numFmtId="0" fontId="26" fillId="0" borderId="0" xfId="61" applyFont="1">
      <alignment/>
      <protection/>
    </xf>
    <xf numFmtId="0" fontId="26" fillId="0" borderId="0" xfId="0" applyFont="1" applyAlignment="1">
      <alignment/>
    </xf>
    <xf numFmtId="0" fontId="26" fillId="0" borderId="10" xfId="61" applyFont="1" applyBorder="1" applyAlignment="1">
      <alignment horizontal="left" vertical="top" wrapText="1"/>
      <protection/>
    </xf>
    <xf numFmtId="0" fontId="26" fillId="0" borderId="0" xfId="61" applyFont="1" applyAlignment="1">
      <alignment vertical="top"/>
      <protection/>
    </xf>
    <xf numFmtId="0" fontId="26" fillId="0" borderId="0" xfId="0" applyFont="1" applyAlignment="1">
      <alignment vertical="top"/>
    </xf>
    <xf numFmtId="0" fontId="26" fillId="0" borderId="0" xfId="61" applyFont="1" applyAlignment="1">
      <alignment vertical="top" wrapText="1"/>
      <protection/>
    </xf>
    <xf numFmtId="0" fontId="26" fillId="0" borderId="0" xfId="0" applyFont="1" applyAlignment="1">
      <alignment vertical="top" wrapText="1"/>
    </xf>
    <xf numFmtId="0" fontId="11" fillId="0" borderId="0" xfId="61" applyFont="1" applyAlignment="1">
      <alignment vertical="top"/>
      <protection/>
    </xf>
    <xf numFmtId="0" fontId="26" fillId="34" borderId="0" xfId="61" applyFont="1" applyFill="1" applyAlignment="1">
      <alignment vertical="top"/>
      <protection/>
    </xf>
    <xf numFmtId="0" fontId="5" fillId="0" borderId="10" xfId="61" applyFont="1" applyBorder="1" applyAlignment="1">
      <alignment horizontal="left" vertical="top" wrapText="1"/>
      <protection/>
    </xf>
    <xf numFmtId="0" fontId="4" fillId="0" borderId="0" xfId="61" applyFont="1" applyAlignment="1">
      <alignment vertical="top"/>
      <protection/>
    </xf>
    <xf numFmtId="206" fontId="5" fillId="0" borderId="15" xfId="46" applyNumberFormat="1" applyFont="1" applyBorder="1" applyAlignment="1">
      <alignment vertical="top"/>
    </xf>
    <xf numFmtId="0" fontId="10" fillId="0" borderId="0" xfId="61" applyFont="1" applyBorder="1" applyAlignment="1">
      <alignment vertical="top"/>
      <protection/>
    </xf>
    <xf numFmtId="0" fontId="11" fillId="0" borderId="10" xfId="61" applyFont="1" applyBorder="1" applyAlignment="1">
      <alignment vertical="top" wrapText="1"/>
      <protection/>
    </xf>
    <xf numFmtId="205" fontId="10" fillId="0" borderId="0" xfId="46" applyNumberFormat="1" applyFont="1" applyAlignment="1">
      <alignment/>
    </xf>
    <xf numFmtId="205" fontId="11" fillId="0" borderId="14" xfId="61" applyNumberFormat="1" applyFont="1" applyBorder="1" applyAlignment="1">
      <alignment vertical="center"/>
      <protection/>
    </xf>
    <xf numFmtId="205" fontId="11" fillId="0" borderId="0" xfId="46" applyNumberFormat="1" applyFont="1" applyBorder="1" applyAlignment="1">
      <alignment horizontal="right" vertical="center"/>
    </xf>
    <xf numFmtId="205" fontId="11" fillId="0" borderId="10" xfId="46" applyNumberFormat="1" applyFont="1" applyBorder="1" applyAlignment="1">
      <alignment vertical="center"/>
    </xf>
    <xf numFmtId="205" fontId="11" fillId="0" borderId="0" xfId="46" applyNumberFormat="1" applyFont="1" applyBorder="1" applyAlignment="1">
      <alignment vertical="center"/>
    </xf>
    <xf numFmtId="205" fontId="0" fillId="0" borderId="0" xfId="0" applyNumberFormat="1" applyAlignment="1">
      <alignment/>
    </xf>
    <xf numFmtId="205" fontId="1" fillId="0" borderId="0" xfId="0" applyNumberFormat="1" applyFont="1" applyAlignment="1">
      <alignment/>
    </xf>
    <xf numFmtId="205" fontId="10" fillId="0" borderId="0" xfId="61" applyNumberFormat="1" applyFont="1">
      <alignment/>
      <protection/>
    </xf>
    <xf numFmtId="205" fontId="11" fillId="0" borderId="14" xfId="46" applyNumberFormat="1" applyFont="1" applyBorder="1" applyAlignment="1">
      <alignment vertical="center"/>
    </xf>
    <xf numFmtId="205" fontId="11" fillId="0" borderId="0" xfId="61" applyNumberFormat="1" applyFont="1" applyBorder="1" applyAlignment="1">
      <alignment horizontal="right" vertical="center"/>
      <protection/>
    </xf>
    <xf numFmtId="205" fontId="0" fillId="0" borderId="0" xfId="0" applyNumberFormat="1" applyFont="1" applyAlignment="1">
      <alignment/>
    </xf>
    <xf numFmtId="205" fontId="7" fillId="0" borderId="0" xfId="61" applyNumberFormat="1" applyFont="1">
      <alignment/>
      <protection/>
    </xf>
    <xf numFmtId="205" fontId="5" fillId="0" borderId="14" xfId="61" applyNumberFormat="1" applyFont="1" applyBorder="1" applyAlignment="1">
      <alignment vertical="center"/>
      <protection/>
    </xf>
    <xf numFmtId="205" fontId="5" fillId="0" borderId="0" xfId="61" applyNumberFormat="1" applyFont="1" applyBorder="1" applyAlignment="1">
      <alignment vertical="center"/>
      <protection/>
    </xf>
    <xf numFmtId="205" fontId="5" fillId="0" borderId="10" xfId="61" applyNumberFormat="1" applyFont="1" applyBorder="1" applyAlignment="1">
      <alignment vertical="center"/>
      <protection/>
    </xf>
    <xf numFmtId="204" fontId="11" fillId="0" borderId="11" xfId="46" applyNumberFormat="1" applyFont="1" applyBorder="1" applyAlignment="1">
      <alignment horizontal="right" vertical="center"/>
    </xf>
    <xf numFmtId="205" fontId="11" fillId="0" borderId="11" xfId="46" applyNumberFormat="1" applyFont="1" applyBorder="1" applyAlignment="1">
      <alignment horizontal="right" vertical="center"/>
    </xf>
    <xf numFmtId="204" fontId="5" fillId="0" borderId="11" xfId="61" applyNumberFormat="1" applyFont="1" applyBorder="1" applyAlignment="1">
      <alignment vertical="center"/>
      <protection/>
    </xf>
    <xf numFmtId="203" fontId="4" fillId="0" borderId="0" xfId="45" applyNumberFormat="1" applyFont="1" applyAlignment="1">
      <alignment/>
    </xf>
    <xf numFmtId="203" fontId="12" fillId="0" borderId="0" xfId="45" applyNumberFormat="1" applyFont="1" applyBorder="1" applyAlignment="1">
      <alignment/>
    </xf>
    <xf numFmtId="203" fontId="5" fillId="0" borderId="15" xfId="60" applyNumberFormat="1" applyFont="1" applyBorder="1" applyAlignment="1">
      <alignment horizontal="center"/>
      <protection/>
    </xf>
    <xf numFmtId="203" fontId="12" fillId="0" borderId="0" xfId="60" applyNumberFormat="1" applyFont="1">
      <alignment/>
      <protection/>
    </xf>
    <xf numFmtId="203" fontId="0" fillId="0" borderId="0" xfId="0" applyNumberFormat="1" applyAlignment="1">
      <alignment/>
    </xf>
    <xf numFmtId="203" fontId="12" fillId="0" borderId="0" xfId="45" applyNumberFormat="1" applyFont="1" applyAlignment="1">
      <alignment/>
    </xf>
    <xf numFmtId="205" fontId="7" fillId="0" borderId="0" xfId="60" applyNumberFormat="1" applyFont="1" applyAlignment="1">
      <alignment horizontal="right"/>
      <protection/>
    </xf>
    <xf numFmtId="205" fontId="12" fillId="0" borderId="0" xfId="45" applyNumberFormat="1" applyFont="1" applyBorder="1" applyAlignment="1">
      <alignment/>
    </xf>
    <xf numFmtId="205" fontId="5" fillId="0" borderId="10" xfId="45" applyNumberFormat="1" applyFont="1" applyBorder="1" applyAlignment="1">
      <alignment horizontal="center"/>
    </xf>
    <xf numFmtId="205" fontId="5" fillId="0" borderId="0" xfId="45" applyNumberFormat="1" applyFont="1" applyBorder="1" applyAlignment="1">
      <alignment horizontal="center"/>
    </xf>
    <xf numFmtId="205" fontId="5" fillId="0" borderId="15" xfId="45" applyNumberFormat="1" applyFont="1" applyBorder="1" applyAlignment="1">
      <alignment horizontal="center"/>
    </xf>
    <xf numFmtId="205" fontId="12" fillId="0" borderId="0" xfId="60" applyNumberFormat="1" applyFont="1">
      <alignment/>
      <protection/>
    </xf>
    <xf numFmtId="205" fontId="4" fillId="0" borderId="0" xfId="60" applyNumberFormat="1" applyFont="1">
      <alignment/>
      <protection/>
    </xf>
    <xf numFmtId="0" fontId="13" fillId="0" borderId="0" xfId="60" applyFont="1" applyBorder="1">
      <alignment/>
      <protection/>
    </xf>
    <xf numFmtId="205" fontId="5" fillId="0" borderId="15" xfId="60" applyNumberFormat="1" applyFont="1" applyBorder="1" applyAlignment="1">
      <alignment horizontal="center"/>
      <protection/>
    </xf>
    <xf numFmtId="205" fontId="4" fillId="0" borderId="0" xfId="45" applyNumberFormat="1" applyFont="1" applyAlignment="1">
      <alignment/>
    </xf>
    <xf numFmtId="205" fontId="5" fillId="0" borderId="0" xfId="60" applyNumberFormat="1" applyFont="1" applyBorder="1" applyAlignment="1">
      <alignment horizontal="center"/>
      <protection/>
    </xf>
    <xf numFmtId="205" fontId="5" fillId="0" borderId="0" xfId="45" applyNumberFormat="1" applyFont="1" applyBorder="1" applyAlignment="1">
      <alignment horizontal="right"/>
    </xf>
    <xf numFmtId="205" fontId="12" fillId="0" borderId="0" xfId="45" applyNumberFormat="1" applyFont="1" applyFill="1" applyAlignment="1">
      <alignment/>
    </xf>
    <xf numFmtId="0" fontId="0" fillId="0" borderId="10" xfId="0" applyBorder="1" applyAlignment="1">
      <alignment/>
    </xf>
    <xf numFmtId="0" fontId="13" fillId="0" borderId="10" xfId="60" applyFont="1" applyBorder="1">
      <alignment/>
      <protection/>
    </xf>
    <xf numFmtId="205" fontId="14" fillId="0" borderId="10" xfId="45" applyNumberFormat="1" applyFont="1" applyBorder="1" applyAlignment="1">
      <alignment/>
    </xf>
    <xf numFmtId="205" fontId="0" fillId="0" borderId="0" xfId="0" applyNumberFormat="1" applyFont="1" applyAlignment="1">
      <alignment/>
    </xf>
    <xf numFmtId="0" fontId="11" fillId="0" borderId="0" xfId="60" applyFont="1" applyFill="1" applyBorder="1" applyAlignment="1">
      <alignment horizontal="left" vertical="top" wrapText="1"/>
      <protection/>
    </xf>
    <xf numFmtId="205" fontId="14" fillId="0" borderId="0" xfId="45" applyNumberFormat="1" applyFont="1" applyBorder="1" applyAlignment="1">
      <alignment/>
    </xf>
    <xf numFmtId="205" fontId="11" fillId="0" borderId="0" xfId="60" applyNumberFormat="1" applyFont="1" applyBorder="1" applyAlignment="1">
      <alignment horizontal="right"/>
      <protection/>
    </xf>
    <xf numFmtId="205" fontId="11" fillId="0" borderId="0" xfId="45" applyNumberFormat="1" applyFont="1" applyBorder="1" applyAlignment="1">
      <alignment horizontal="right"/>
    </xf>
    <xf numFmtId="205" fontId="1" fillId="0" borderId="0" xfId="42" applyNumberFormat="1" applyFont="1" applyAlignment="1">
      <alignment/>
    </xf>
    <xf numFmtId="205" fontId="5" fillId="0" borderId="0" xfId="60" applyNumberFormat="1" applyFont="1">
      <alignment/>
      <protection/>
    </xf>
    <xf numFmtId="205" fontId="13" fillId="0" borderId="0" xfId="45" applyNumberFormat="1" applyFont="1" applyBorder="1" applyAlignment="1">
      <alignment horizontal="center"/>
    </xf>
    <xf numFmtId="205" fontId="16" fillId="0" borderId="10" xfId="45" applyNumberFormat="1" applyFont="1" applyBorder="1" applyAlignment="1">
      <alignment horizontal="center"/>
    </xf>
    <xf numFmtId="205" fontId="7" fillId="0" borderId="0" xfId="60" applyNumberFormat="1" applyFont="1" applyFill="1">
      <alignment/>
      <protection/>
    </xf>
    <xf numFmtId="205" fontId="7" fillId="0" borderId="0" xfId="0" applyNumberFormat="1" applyFont="1" applyAlignment="1">
      <alignment horizontal="right"/>
    </xf>
    <xf numFmtId="205" fontId="7" fillId="0" borderId="0" xfId="60" applyNumberFormat="1" applyFont="1" applyBorder="1">
      <alignment/>
      <protection/>
    </xf>
    <xf numFmtId="205" fontId="5" fillId="0" borderId="12" xfId="60" applyNumberFormat="1" applyFont="1" applyBorder="1">
      <alignment/>
      <protection/>
    </xf>
    <xf numFmtId="205" fontId="7" fillId="0" borderId="0" xfId="60" applyNumberFormat="1" applyFont="1" applyBorder="1">
      <alignment/>
      <protection/>
    </xf>
    <xf numFmtId="205" fontId="7" fillId="0" borderId="0" xfId="60" applyNumberFormat="1" applyFont="1" applyAlignment="1">
      <alignment horizontal="right"/>
      <protection/>
    </xf>
    <xf numFmtId="205" fontId="7" fillId="0" borderId="16" xfId="60" applyNumberFormat="1" applyFont="1" applyBorder="1" applyAlignment="1">
      <alignment horizontal="right"/>
      <protection/>
    </xf>
    <xf numFmtId="205" fontId="11" fillId="0" borderId="0" xfId="60" applyNumberFormat="1" applyFont="1" applyBorder="1" applyAlignment="1">
      <alignment horizontal="center"/>
      <protection/>
    </xf>
    <xf numFmtId="205" fontId="11" fillId="0" borderId="11" xfId="60" applyNumberFormat="1" applyFont="1" applyBorder="1" applyAlignment="1">
      <alignment horizontal="center"/>
      <protection/>
    </xf>
    <xf numFmtId="205" fontId="5" fillId="0" borderId="15" xfId="60" applyNumberFormat="1" applyFont="1" applyBorder="1" applyAlignment="1">
      <alignment horizontal="right"/>
      <protection/>
    </xf>
    <xf numFmtId="205" fontId="5" fillId="0" borderId="0" xfId="60" applyNumberFormat="1" applyFont="1" applyBorder="1" applyAlignment="1">
      <alignment horizontal="right"/>
      <protection/>
    </xf>
    <xf numFmtId="205" fontId="7" fillId="0" borderId="0" xfId="60" applyNumberFormat="1" applyFont="1" applyBorder="1" applyAlignment="1">
      <alignment horizontal="center"/>
      <protection/>
    </xf>
    <xf numFmtId="205" fontId="25" fillId="0" borderId="0" xfId="0" applyNumberFormat="1" applyFont="1" applyAlignment="1">
      <alignment/>
    </xf>
    <xf numFmtId="205" fontId="10" fillId="0" borderId="0" xfId="60" applyNumberFormat="1" applyFont="1">
      <alignment/>
      <protection/>
    </xf>
    <xf numFmtId="205" fontId="5" fillId="0" borderId="0" xfId="42" applyNumberFormat="1" applyFont="1" applyBorder="1" applyAlignment="1">
      <alignment horizontal="center"/>
    </xf>
    <xf numFmtId="205" fontId="14" fillId="0" borderId="0" xfId="45" applyNumberFormat="1" applyFont="1" applyBorder="1" applyAlignment="1">
      <alignment/>
    </xf>
    <xf numFmtId="205" fontId="14" fillId="0" borderId="0" xfId="45" applyNumberFormat="1" applyFont="1" applyBorder="1" applyAlignment="1">
      <alignment horizontal="center"/>
    </xf>
    <xf numFmtId="205" fontId="28" fillId="0" borderId="18" xfId="45" applyNumberFormat="1" applyFont="1" applyBorder="1" applyAlignment="1">
      <alignment horizontal="center" textRotation="78" wrapText="1"/>
    </xf>
    <xf numFmtId="205" fontId="4" fillId="0" borderId="0" xfId="60" applyNumberFormat="1">
      <alignment/>
      <protection/>
    </xf>
    <xf numFmtId="205" fontId="5" fillId="0" borderId="11" xfId="45" applyNumberFormat="1" applyFont="1" applyBorder="1" applyAlignment="1">
      <alignment horizontal="center"/>
    </xf>
    <xf numFmtId="0" fontId="0" fillId="0" borderId="0" xfId="0" applyAlignment="1">
      <alignment vertical="top"/>
    </xf>
    <xf numFmtId="208" fontId="10" fillId="0" borderId="0" xfId="42" applyNumberFormat="1" applyFont="1" applyBorder="1" applyAlignment="1">
      <alignment horizontal="right"/>
    </xf>
    <xf numFmtId="0" fontId="7" fillId="0" borderId="0" xfId="60" applyFont="1" applyBorder="1" applyAlignment="1">
      <alignment horizontal="right"/>
      <protection/>
    </xf>
    <xf numFmtId="205" fontId="7" fillId="0" borderId="0" xfId="60" applyNumberFormat="1" applyFont="1" applyBorder="1" applyAlignment="1">
      <alignment horizontal="right"/>
      <protection/>
    </xf>
    <xf numFmtId="1" fontId="5" fillId="0" borderId="16" xfId="45" applyNumberFormat="1" applyFont="1" applyBorder="1" applyAlignment="1">
      <alignment horizontal="right"/>
    </xf>
    <xf numFmtId="204" fontId="26" fillId="0" borderId="0" xfId="45" applyNumberFormat="1" applyFont="1" applyAlignment="1">
      <alignment vertical="top" wrapText="1"/>
    </xf>
    <xf numFmtId="0" fontId="5" fillId="0" borderId="0" xfId="60" applyFont="1" applyAlignment="1">
      <alignment vertical="top"/>
      <protection/>
    </xf>
    <xf numFmtId="205" fontId="5" fillId="0" borderId="0" xfId="60" applyNumberFormat="1" applyFont="1" applyAlignment="1">
      <alignment vertical="top"/>
      <protection/>
    </xf>
    <xf numFmtId="0" fontId="12" fillId="0" borderId="0" xfId="60" applyFont="1" applyAlignment="1">
      <alignment vertical="top"/>
      <protection/>
    </xf>
    <xf numFmtId="204" fontId="4" fillId="0" borderId="0" xfId="45" applyNumberFormat="1" applyFont="1" applyAlignment="1">
      <alignment horizontal="center" vertical="top"/>
    </xf>
    <xf numFmtId="0" fontId="0" fillId="0" borderId="12" xfId="0" applyFont="1" applyBorder="1" applyAlignment="1">
      <alignment vertical="top"/>
    </xf>
    <xf numFmtId="205" fontId="0" fillId="0" borderId="12" xfId="0" applyNumberFormat="1" applyFont="1" applyBorder="1" applyAlignment="1">
      <alignment vertical="top"/>
    </xf>
    <xf numFmtId="204" fontId="5" fillId="0" borderId="0" xfId="45" applyNumberFormat="1" applyFont="1" applyBorder="1" applyAlignment="1">
      <alignment vertical="top"/>
    </xf>
    <xf numFmtId="204" fontId="4" fillId="0" borderId="0" xfId="45" applyNumberFormat="1" applyFont="1" applyAlignment="1">
      <alignment vertical="top"/>
    </xf>
    <xf numFmtId="205" fontId="4" fillId="0" borderId="0" xfId="45" applyNumberFormat="1" applyFont="1" applyAlignment="1">
      <alignment vertical="top"/>
    </xf>
    <xf numFmtId="204" fontId="5" fillId="0" borderId="15" xfId="45" applyNumberFormat="1" applyFont="1" applyBorder="1" applyAlignment="1">
      <alignment horizontal="center" vertical="top"/>
    </xf>
    <xf numFmtId="0" fontId="0" fillId="0" borderId="0" xfId="0" applyFont="1" applyAlignment="1">
      <alignment vertical="top"/>
    </xf>
    <xf numFmtId="205" fontId="0" fillId="0" borderId="0" xfId="0" applyNumberFormat="1" applyFont="1" applyAlignment="1">
      <alignment vertical="top"/>
    </xf>
    <xf numFmtId="205" fontId="4" fillId="0" borderId="0" xfId="60" applyNumberFormat="1" applyFont="1" applyAlignment="1">
      <alignment vertical="top"/>
      <protection/>
    </xf>
    <xf numFmtId="205" fontId="7" fillId="0" borderId="0" xfId="60" applyNumberFormat="1" applyFont="1" applyAlignment="1">
      <alignment horizontal="right" vertical="top"/>
      <protection/>
    </xf>
    <xf numFmtId="205" fontId="5" fillId="0" borderId="0" xfId="45" applyNumberFormat="1" applyFont="1" applyBorder="1" applyAlignment="1">
      <alignment vertical="top"/>
    </xf>
    <xf numFmtId="0" fontId="7" fillId="0" borderId="15" xfId="60" applyFont="1" applyBorder="1" applyAlignment="1">
      <alignment vertical="top"/>
      <protection/>
    </xf>
    <xf numFmtId="0" fontId="11" fillId="0" borderId="15" xfId="60" applyFont="1" applyBorder="1" applyAlignment="1">
      <alignment horizontal="left" vertical="top"/>
      <protection/>
    </xf>
    <xf numFmtId="0" fontId="5" fillId="0" borderId="15" xfId="60" applyFont="1" applyBorder="1" applyAlignment="1">
      <alignment horizontal="center" vertical="top"/>
      <protection/>
    </xf>
    <xf numFmtId="205" fontId="11" fillId="0" borderId="11" xfId="45" applyNumberFormat="1" applyFont="1" applyBorder="1" applyAlignment="1">
      <alignment horizontal="right"/>
    </xf>
    <xf numFmtId="205" fontId="11" fillId="0" borderId="0" xfId="45" applyNumberFormat="1" applyFont="1" applyBorder="1" applyAlignment="1">
      <alignment/>
    </xf>
    <xf numFmtId="205" fontId="11" fillId="0" borderId="0" xfId="60" applyNumberFormat="1" applyFont="1" applyBorder="1" applyAlignment="1">
      <alignment horizontal="right"/>
      <protection/>
    </xf>
    <xf numFmtId="203" fontId="11" fillId="0" borderId="0" xfId="45" applyNumberFormat="1" applyFont="1" applyBorder="1" applyAlignment="1">
      <alignment horizontal="right"/>
    </xf>
    <xf numFmtId="204" fontId="0" fillId="0" borderId="0" xfId="0" applyNumberFormat="1" applyFont="1" applyBorder="1" applyAlignment="1">
      <alignment/>
    </xf>
    <xf numFmtId="205" fontId="13" fillId="0" borderId="0" xfId="45" applyNumberFormat="1" applyFont="1" applyAlignment="1">
      <alignment/>
    </xf>
    <xf numFmtId="205" fontId="7" fillId="0" borderId="0" xfId="68" applyNumberFormat="1" applyFont="1" applyBorder="1" applyAlignment="1">
      <alignment horizontal="right"/>
      <protection/>
    </xf>
    <xf numFmtId="205" fontId="7" fillId="0" borderId="11" xfId="68" applyNumberFormat="1" applyFont="1" applyBorder="1" applyAlignment="1">
      <alignment horizontal="right"/>
      <protection/>
    </xf>
    <xf numFmtId="205" fontId="16" fillId="0" borderId="15" xfId="68" applyNumberFormat="1" applyFont="1" applyBorder="1" applyAlignment="1">
      <alignment vertical="center"/>
      <protection/>
    </xf>
    <xf numFmtId="205" fontId="7" fillId="0" borderId="0" xfId="68" applyNumberFormat="1" applyFont="1" applyBorder="1">
      <alignment/>
      <protection/>
    </xf>
    <xf numFmtId="205" fontId="18" fillId="0" borderId="0" xfId="42" applyNumberFormat="1" applyFont="1" applyAlignment="1">
      <alignment/>
    </xf>
    <xf numFmtId="205" fontId="10" fillId="0" borderId="0" xfId="68" applyNumberFormat="1" applyFont="1">
      <alignment/>
      <protection/>
    </xf>
    <xf numFmtId="204" fontId="7" fillId="0" borderId="19" xfId="68" applyNumberFormat="1" applyFont="1" applyBorder="1" applyAlignment="1">
      <alignment horizontal="right"/>
      <protection/>
    </xf>
    <xf numFmtId="204" fontId="7" fillId="0" borderId="20" xfId="68" applyNumberFormat="1" applyFont="1" applyBorder="1" applyAlignment="1">
      <alignment horizontal="right"/>
      <protection/>
    </xf>
    <xf numFmtId="204" fontId="16" fillId="0" borderId="21" xfId="68" applyNumberFormat="1" applyFont="1" applyBorder="1" applyAlignment="1">
      <alignment vertical="center"/>
      <protection/>
    </xf>
    <xf numFmtId="205" fontId="7" fillId="0" borderId="22" xfId="68" applyNumberFormat="1" applyFont="1" applyBorder="1" applyAlignment="1">
      <alignment horizontal="right"/>
      <protection/>
    </xf>
    <xf numFmtId="205" fontId="7" fillId="0" borderId="23" xfId="68" applyNumberFormat="1" applyFont="1" applyBorder="1" applyAlignment="1">
      <alignment horizontal="right"/>
      <protection/>
    </xf>
    <xf numFmtId="205" fontId="5" fillId="0" borderId="0" xfId="60" applyNumberFormat="1" applyFont="1" applyFill="1" applyAlignment="1">
      <alignment horizontal="right"/>
      <protection/>
    </xf>
    <xf numFmtId="205" fontId="11" fillId="0" borderId="10" xfId="45" applyNumberFormat="1" applyFont="1" applyBorder="1" applyAlignment="1">
      <alignment horizontal="right"/>
    </xf>
    <xf numFmtId="205" fontId="32" fillId="0" borderId="0" xfId="0" applyNumberFormat="1" applyFont="1" applyAlignment="1">
      <alignment/>
    </xf>
    <xf numFmtId="205" fontId="11" fillId="0" borderId="0" xfId="45" applyNumberFormat="1" applyFont="1" applyBorder="1" applyAlignment="1">
      <alignment horizontal="center"/>
    </xf>
    <xf numFmtId="205" fontId="7" fillId="0" borderId="0" xfId="60" applyNumberFormat="1" applyFont="1">
      <alignment/>
      <protection/>
    </xf>
    <xf numFmtId="203" fontId="10" fillId="0" borderId="0" xfId="45" applyNumberFormat="1" applyFont="1" applyBorder="1" applyAlignment="1">
      <alignment/>
    </xf>
    <xf numFmtId="0" fontId="23" fillId="0" borderId="0" xfId="0" applyFont="1" applyBorder="1" applyAlignment="1">
      <alignment/>
    </xf>
    <xf numFmtId="0" fontId="0" fillId="0" borderId="0" xfId="0" applyFont="1" applyBorder="1" applyAlignment="1">
      <alignment/>
    </xf>
    <xf numFmtId="0" fontId="13" fillId="0" borderId="11" xfId="60" applyFont="1" applyBorder="1">
      <alignment/>
      <protection/>
    </xf>
    <xf numFmtId="204" fontId="13" fillId="0" borderId="11" xfId="45" applyNumberFormat="1" applyFont="1" applyBorder="1" applyAlignment="1">
      <alignment horizontal="center"/>
    </xf>
    <xf numFmtId="205" fontId="1" fillId="0" borderId="0" xfId="45" applyNumberFormat="1" applyFont="1" applyAlignment="1">
      <alignment/>
    </xf>
    <xf numFmtId="203" fontId="7" fillId="0" borderId="0" xfId="68" applyNumberFormat="1" applyFont="1" applyBorder="1" applyAlignment="1">
      <alignment horizontal="right"/>
      <protection/>
    </xf>
    <xf numFmtId="203" fontId="7" fillId="0" borderId="11" xfId="68" applyNumberFormat="1" applyFont="1" applyBorder="1" applyAlignment="1">
      <alignment horizontal="right"/>
      <protection/>
    </xf>
    <xf numFmtId="203" fontId="16" fillId="0" borderId="15" xfId="68" applyNumberFormat="1" applyFont="1" applyBorder="1" applyAlignment="1">
      <alignment vertical="center"/>
      <protection/>
    </xf>
    <xf numFmtId="203" fontId="7" fillId="0" borderId="0" xfId="68" applyNumberFormat="1" applyFont="1" applyBorder="1">
      <alignment/>
      <protection/>
    </xf>
    <xf numFmtId="203" fontId="18" fillId="0" borderId="0" xfId="42" applyNumberFormat="1" applyFont="1" applyAlignment="1">
      <alignment/>
    </xf>
    <xf numFmtId="203" fontId="10" fillId="0" borderId="0" xfId="68" applyNumberFormat="1" applyFont="1">
      <alignment/>
      <protection/>
    </xf>
    <xf numFmtId="203" fontId="0" fillId="0" borderId="0" xfId="0" applyNumberFormat="1" applyFont="1" applyAlignment="1">
      <alignment/>
    </xf>
    <xf numFmtId="203" fontId="7" fillId="0" borderId="22" xfId="68" applyNumberFormat="1" applyFont="1" applyBorder="1" applyAlignment="1">
      <alignment horizontal="right"/>
      <protection/>
    </xf>
    <xf numFmtId="204" fontId="7" fillId="0" borderId="22" xfId="68" applyNumberFormat="1" applyFont="1" applyBorder="1" applyAlignment="1">
      <alignment horizontal="right"/>
      <protection/>
    </xf>
    <xf numFmtId="204" fontId="7" fillId="0" borderId="23" xfId="68" applyNumberFormat="1" applyFont="1" applyBorder="1" applyAlignment="1">
      <alignment horizontal="right"/>
      <protection/>
    </xf>
    <xf numFmtId="205" fontId="4" fillId="0" borderId="0" xfId="45" applyNumberFormat="1" applyFont="1" applyAlignment="1">
      <alignment horizontal="right"/>
    </xf>
    <xf numFmtId="205" fontId="12" fillId="0" borderId="0" xfId="45" applyNumberFormat="1" applyFont="1" applyBorder="1" applyAlignment="1">
      <alignment horizontal="right"/>
    </xf>
    <xf numFmtId="205" fontId="5" fillId="0" borderId="12" xfId="60" applyNumberFormat="1" applyFont="1" applyBorder="1" applyAlignment="1">
      <alignment horizontal="right"/>
      <protection/>
    </xf>
    <xf numFmtId="205" fontId="10" fillId="0" borderId="0" xfId="60" applyNumberFormat="1" applyFont="1" applyAlignment="1">
      <alignment horizontal="right"/>
      <protection/>
    </xf>
    <xf numFmtId="205" fontId="0" fillId="0" borderId="0" xfId="0" applyNumberFormat="1" applyAlignment="1">
      <alignment horizontal="right"/>
    </xf>
    <xf numFmtId="205" fontId="4" fillId="0" borderId="0" xfId="60" applyNumberFormat="1" applyAlignment="1">
      <alignment horizontal="right"/>
      <protection/>
    </xf>
    <xf numFmtId="1" fontId="5" fillId="0" borderId="0" xfId="45" applyNumberFormat="1" applyFont="1" applyBorder="1" applyAlignment="1">
      <alignment horizontal="right"/>
    </xf>
    <xf numFmtId="203" fontId="11" fillId="0" borderId="0" xfId="45" applyNumberFormat="1" applyFont="1" applyBorder="1" applyAlignment="1">
      <alignment/>
    </xf>
    <xf numFmtId="204" fontId="7" fillId="0" borderId="21" xfId="60" applyNumberFormat="1" applyFont="1" applyBorder="1">
      <alignment/>
      <protection/>
    </xf>
    <xf numFmtId="205" fontId="7" fillId="0" borderId="0" xfId="60" applyNumberFormat="1" applyFont="1" applyAlignment="1">
      <alignment/>
      <protection/>
    </xf>
    <xf numFmtId="205" fontId="7" fillId="0" borderId="0" xfId="46" applyNumberFormat="1" applyFont="1" applyBorder="1" applyAlignment="1">
      <alignment/>
    </xf>
    <xf numFmtId="205" fontId="5" fillId="0" borderId="0" xfId="46" applyNumberFormat="1" applyFont="1" applyBorder="1" applyAlignment="1">
      <alignment/>
    </xf>
    <xf numFmtId="205" fontId="5" fillId="0" borderId="13" xfId="46" applyNumberFormat="1" applyFont="1" applyBorder="1" applyAlignment="1">
      <alignment vertical="center"/>
    </xf>
    <xf numFmtId="205" fontId="10" fillId="0" borderId="0" xfId="60" applyNumberFormat="1" applyFont="1" applyAlignment="1">
      <alignment/>
      <protection/>
    </xf>
    <xf numFmtId="205" fontId="7" fillId="0" borderId="0" xfId="60" applyNumberFormat="1" applyFont="1" applyBorder="1" applyAlignment="1">
      <alignment vertical="center"/>
      <protection/>
    </xf>
    <xf numFmtId="205" fontId="7" fillId="0" borderId="0" xfId="60" applyNumberFormat="1" applyFont="1" applyBorder="1" applyAlignment="1">
      <alignment/>
      <protection/>
    </xf>
    <xf numFmtId="205" fontId="0" fillId="0" borderId="0" xfId="0" applyNumberFormat="1" applyAlignment="1">
      <alignment/>
    </xf>
    <xf numFmtId="205" fontId="4" fillId="0" borderId="0" xfId="60" applyNumberFormat="1" applyAlignment="1">
      <alignment/>
      <protection/>
    </xf>
    <xf numFmtId="203" fontId="16" fillId="0" borderId="24" xfId="68" applyNumberFormat="1" applyFont="1" applyBorder="1" applyAlignment="1">
      <alignment horizontal="right" vertical="center"/>
      <protection/>
    </xf>
    <xf numFmtId="205" fontId="10" fillId="0" borderId="0" xfId="46" applyNumberFormat="1" applyFont="1" applyAlignment="1">
      <alignment/>
    </xf>
    <xf numFmtId="205" fontId="5" fillId="0" borderId="11" xfId="46" applyNumberFormat="1" applyFont="1" applyBorder="1" applyAlignment="1">
      <alignment/>
    </xf>
    <xf numFmtId="205" fontId="16" fillId="0" borderId="0" xfId="46" applyNumberFormat="1" applyFont="1" applyBorder="1" applyAlignment="1">
      <alignment vertical="center"/>
    </xf>
    <xf numFmtId="205" fontId="4" fillId="0" borderId="0" xfId="46" applyNumberFormat="1" applyFont="1" applyAlignment="1">
      <alignment/>
    </xf>
    <xf numFmtId="203" fontId="5" fillId="0" borderId="11" xfId="46" applyNumberFormat="1" applyFont="1" applyBorder="1" applyAlignment="1">
      <alignment/>
    </xf>
    <xf numFmtId="205" fontId="7" fillId="0" borderId="0" xfId="46" applyNumberFormat="1" applyFont="1" applyFill="1" applyBorder="1" applyAlignment="1">
      <alignment/>
    </xf>
    <xf numFmtId="203" fontId="5" fillId="0" borderId="0" xfId="60" applyNumberFormat="1" applyFont="1" applyBorder="1">
      <alignment/>
      <protection/>
    </xf>
    <xf numFmtId="203" fontId="5" fillId="0" borderId="11" xfId="60" applyNumberFormat="1" applyFont="1" applyBorder="1">
      <alignment/>
      <protection/>
    </xf>
    <xf numFmtId="208" fontId="6" fillId="0" borderId="0" xfId="42" applyNumberFormat="1" applyFont="1" applyAlignment="1">
      <alignment/>
    </xf>
    <xf numFmtId="208" fontId="7" fillId="0" borderId="0" xfId="42" applyNumberFormat="1" applyFont="1" applyBorder="1" applyAlignment="1">
      <alignment/>
    </xf>
    <xf numFmtId="208" fontId="11" fillId="0" borderId="0" xfId="42" applyNumberFormat="1" applyFont="1" applyBorder="1" applyAlignment="1">
      <alignment horizontal="right"/>
    </xf>
    <xf numFmtId="208" fontId="11" fillId="0" borderId="11" xfId="42" applyNumberFormat="1" applyFont="1" applyBorder="1" applyAlignment="1">
      <alignment horizontal="right"/>
    </xf>
    <xf numFmtId="208" fontId="10" fillId="0" borderId="0" xfId="42" applyNumberFormat="1" applyFont="1" applyBorder="1" applyAlignment="1">
      <alignment/>
    </xf>
    <xf numFmtId="208" fontId="10" fillId="0" borderId="0" xfId="42" applyNumberFormat="1" applyFont="1" applyAlignment="1">
      <alignment/>
    </xf>
    <xf numFmtId="208" fontId="12" fillId="0" borderId="0" xfId="42" applyNumberFormat="1" applyFont="1" applyAlignment="1">
      <alignment/>
    </xf>
    <xf numFmtId="208" fontId="11" fillId="0" borderId="0" xfId="42" applyNumberFormat="1" applyFont="1" applyBorder="1" applyAlignment="1">
      <alignment/>
    </xf>
    <xf numFmtId="208" fontId="6" fillId="0" borderId="0" xfId="42" applyNumberFormat="1" applyFont="1" applyAlignment="1">
      <alignment horizontal="right"/>
    </xf>
    <xf numFmtId="208" fontId="12" fillId="0" borderId="0" xfId="42" applyNumberFormat="1" applyFont="1" applyAlignment="1">
      <alignment horizontal="right"/>
    </xf>
    <xf numFmtId="208" fontId="10" fillId="0" borderId="0" xfId="42" applyNumberFormat="1" applyFont="1" applyAlignment="1">
      <alignment horizontal="right"/>
    </xf>
    <xf numFmtId="208" fontId="5" fillId="0" borderId="0" xfId="42" applyNumberFormat="1" applyFont="1" applyBorder="1" applyAlignment="1">
      <alignment horizontal="right"/>
    </xf>
    <xf numFmtId="208" fontId="5" fillId="0" borderId="11" xfId="42" applyNumberFormat="1" applyFont="1" applyBorder="1" applyAlignment="1">
      <alignment horizontal="right"/>
    </xf>
    <xf numFmtId="205" fontId="0" fillId="0" borderId="0" xfId="0" applyNumberFormat="1" applyFont="1" applyAlignment="1">
      <alignment/>
    </xf>
    <xf numFmtId="205" fontId="4" fillId="0" borderId="0" xfId="60" applyNumberFormat="1" applyFont="1" applyAlignment="1">
      <alignment/>
      <protection/>
    </xf>
    <xf numFmtId="205" fontId="11" fillId="0" borderId="0" xfId="60" applyNumberFormat="1" applyFont="1" applyBorder="1" applyAlignment="1">
      <alignment/>
      <protection/>
    </xf>
    <xf numFmtId="205" fontId="11" fillId="0" borderId="11" xfId="60" applyNumberFormat="1" applyFont="1" applyBorder="1" applyAlignment="1">
      <alignment/>
      <protection/>
    </xf>
    <xf numFmtId="205" fontId="10" fillId="0" borderId="0" xfId="45" applyNumberFormat="1" applyFont="1" applyAlignment="1">
      <alignment/>
    </xf>
    <xf numFmtId="205" fontId="4" fillId="0" borderId="0" xfId="45" applyNumberFormat="1" applyFont="1" applyAlignment="1">
      <alignment/>
    </xf>
    <xf numFmtId="0" fontId="11" fillId="0" borderId="0" xfId="60" applyFont="1" applyBorder="1" applyAlignment="1">
      <alignment/>
      <protection/>
    </xf>
    <xf numFmtId="0" fontId="11" fillId="0" borderId="11" xfId="60" applyFont="1" applyBorder="1" applyAlignment="1">
      <alignment/>
      <protection/>
    </xf>
    <xf numFmtId="0" fontId="0" fillId="0" borderId="0" xfId="0" applyFont="1" applyAlignment="1">
      <alignment/>
    </xf>
    <xf numFmtId="0" fontId="10" fillId="0" borderId="0" xfId="60" applyFont="1" applyAlignment="1">
      <alignment/>
      <protection/>
    </xf>
    <xf numFmtId="0" fontId="4" fillId="0" borderId="0" xfId="60" applyFont="1" applyAlignment="1">
      <alignment/>
      <protection/>
    </xf>
    <xf numFmtId="204" fontId="10" fillId="0" borderId="0" xfId="45" applyNumberFormat="1" applyFont="1" applyAlignment="1">
      <alignment/>
    </xf>
    <xf numFmtId="204" fontId="4" fillId="0" borderId="0" xfId="45" applyNumberFormat="1" applyFont="1" applyAlignment="1">
      <alignment/>
    </xf>
    <xf numFmtId="0" fontId="11" fillId="0" borderId="0" xfId="60" applyFont="1" applyBorder="1" applyAlignment="1">
      <alignment horizontal="right"/>
      <protection/>
    </xf>
    <xf numFmtId="0" fontId="11" fillId="0" borderId="11" xfId="60" applyFont="1" applyBorder="1" applyAlignment="1">
      <alignment horizontal="right"/>
      <protection/>
    </xf>
    <xf numFmtId="205" fontId="11" fillId="0" borderId="11" xfId="60" applyNumberFormat="1" applyFont="1" applyBorder="1" applyAlignment="1">
      <alignment horizontal="right"/>
      <protection/>
    </xf>
    <xf numFmtId="0" fontId="0" fillId="0" borderId="0" xfId="0" applyFont="1" applyAlignment="1">
      <alignment horizontal="right"/>
    </xf>
    <xf numFmtId="205" fontId="0" fillId="0" borderId="0" xfId="0" applyNumberFormat="1" applyFont="1" applyAlignment="1">
      <alignment horizontal="right"/>
    </xf>
    <xf numFmtId="0" fontId="4" fillId="0" borderId="0" xfId="60" applyFont="1" applyAlignment="1">
      <alignment horizontal="right"/>
      <protection/>
    </xf>
    <xf numFmtId="204" fontId="10" fillId="0" borderId="0" xfId="45" applyNumberFormat="1" applyFont="1" applyAlignment="1">
      <alignment horizontal="right"/>
    </xf>
    <xf numFmtId="205" fontId="10" fillId="0" borderId="0" xfId="45" applyNumberFormat="1" applyFont="1" applyAlignment="1">
      <alignment horizontal="right"/>
    </xf>
    <xf numFmtId="204" fontId="4" fillId="0" borderId="0" xfId="45" applyNumberFormat="1" applyFont="1" applyAlignment="1">
      <alignment horizontal="right"/>
    </xf>
    <xf numFmtId="205" fontId="4" fillId="0" borderId="0" xfId="60" applyNumberFormat="1" applyFont="1" applyAlignment="1">
      <alignment horizontal="right"/>
      <protection/>
    </xf>
    <xf numFmtId="204" fontId="5" fillId="0" borderId="0" xfId="45" applyNumberFormat="1" applyFont="1" applyBorder="1" applyAlignment="1">
      <alignment/>
    </xf>
    <xf numFmtId="204" fontId="5" fillId="0" borderId="11" xfId="45" applyNumberFormat="1" applyFont="1" applyBorder="1" applyAlignment="1">
      <alignment/>
    </xf>
    <xf numFmtId="203" fontId="5" fillId="0" borderId="0" xfId="45" applyNumberFormat="1" applyFont="1" applyBorder="1" applyAlignment="1">
      <alignment/>
    </xf>
    <xf numFmtId="203" fontId="5" fillId="0" borderId="11" xfId="45" applyNumberFormat="1" applyFont="1" applyBorder="1" applyAlignment="1">
      <alignment/>
    </xf>
    <xf numFmtId="0" fontId="12" fillId="0" borderId="0" xfId="60" applyFont="1" applyAlignment="1">
      <alignment/>
      <protection/>
    </xf>
    <xf numFmtId="203" fontId="11" fillId="0" borderId="11" xfId="45" applyNumberFormat="1" applyFont="1" applyBorder="1" applyAlignment="1">
      <alignment horizontal="right"/>
    </xf>
    <xf numFmtId="0" fontId="5" fillId="35" borderId="0" xfId="61" applyFont="1" applyFill="1" applyBorder="1">
      <alignment/>
      <protection/>
    </xf>
    <xf numFmtId="0" fontId="7" fillId="35" borderId="0" xfId="61" applyFont="1" applyFill="1" applyBorder="1" applyAlignment="1">
      <alignment horizontal="center"/>
      <protection/>
    </xf>
    <xf numFmtId="208" fontId="7" fillId="35" borderId="0" xfId="42" applyNumberFormat="1" applyFont="1" applyFill="1" applyBorder="1" applyAlignment="1">
      <alignment/>
    </xf>
    <xf numFmtId="0" fontId="7" fillId="35" borderId="0" xfId="61" applyFont="1" applyFill="1" applyBorder="1">
      <alignment/>
      <protection/>
    </xf>
    <xf numFmtId="204" fontId="7" fillId="35" borderId="0" xfId="45" applyNumberFormat="1" applyFont="1" applyFill="1" applyBorder="1" applyAlignment="1">
      <alignment horizontal="center"/>
    </xf>
    <xf numFmtId="208" fontId="7" fillId="35" borderId="0" xfId="42" applyNumberFormat="1" applyFont="1" applyFill="1" applyBorder="1" applyAlignment="1">
      <alignment horizontal="right"/>
    </xf>
    <xf numFmtId="204" fontId="7" fillId="35" borderId="0" xfId="45" applyNumberFormat="1" applyFont="1" applyFill="1" applyBorder="1" applyAlignment="1">
      <alignment/>
    </xf>
    <xf numFmtId="0" fontId="5" fillId="35" borderId="10" xfId="61" applyFont="1" applyFill="1" applyBorder="1">
      <alignment/>
      <protection/>
    </xf>
    <xf numFmtId="204" fontId="7" fillId="35" borderId="10" xfId="45" applyNumberFormat="1" applyFont="1" applyFill="1" applyBorder="1" applyAlignment="1">
      <alignment horizontal="center"/>
    </xf>
    <xf numFmtId="208" fontId="7" fillId="35" borderId="10" xfId="42" applyNumberFormat="1" applyFont="1" applyFill="1" applyBorder="1" applyAlignment="1">
      <alignment/>
    </xf>
    <xf numFmtId="204" fontId="7" fillId="35" borderId="10" xfId="45" applyNumberFormat="1" applyFont="1" applyFill="1" applyBorder="1" applyAlignment="1">
      <alignment/>
    </xf>
    <xf numFmtId="208" fontId="7" fillId="35" borderId="10" xfId="42" applyNumberFormat="1" applyFont="1" applyFill="1" applyBorder="1" applyAlignment="1">
      <alignment horizontal="right"/>
    </xf>
    <xf numFmtId="0" fontId="7" fillId="35" borderId="10" xfId="61" applyFont="1" applyFill="1" applyBorder="1" applyAlignment="1">
      <alignment horizontal="center"/>
      <protection/>
    </xf>
    <xf numFmtId="204" fontId="5" fillId="35" borderId="10" xfId="61" applyNumberFormat="1" applyFont="1" applyFill="1" applyBorder="1" applyAlignment="1">
      <alignment horizontal="center"/>
      <protection/>
    </xf>
    <xf numFmtId="208" fontId="5" fillId="35" borderId="10" xfId="42" applyNumberFormat="1" applyFont="1" applyFill="1" applyBorder="1" applyAlignment="1">
      <alignment horizontal="right"/>
    </xf>
    <xf numFmtId="204" fontId="7" fillId="35" borderId="0" xfId="45" applyNumberFormat="1" applyFont="1" applyFill="1" applyBorder="1" applyAlignment="1">
      <alignment horizontal="right"/>
    </xf>
    <xf numFmtId="204" fontId="5" fillId="35" borderId="0" xfId="61" applyNumberFormat="1" applyFont="1" applyFill="1" applyBorder="1" applyAlignment="1">
      <alignment horizontal="center"/>
      <protection/>
    </xf>
    <xf numFmtId="208" fontId="5" fillId="35" borderId="0" xfId="42" applyNumberFormat="1" applyFont="1" applyFill="1" applyBorder="1" applyAlignment="1">
      <alignment horizontal="right"/>
    </xf>
    <xf numFmtId="0" fontId="5" fillId="35" borderId="0" xfId="61" applyFont="1" applyFill="1" applyBorder="1" applyAlignment="1">
      <alignment vertical="center"/>
      <protection/>
    </xf>
    <xf numFmtId="0" fontId="7" fillId="35" borderId="0" xfId="61" applyFont="1" applyFill="1" applyBorder="1" applyAlignment="1">
      <alignment horizontal="right"/>
      <protection/>
    </xf>
    <xf numFmtId="204" fontId="7" fillId="35" borderId="10" xfId="45" applyNumberFormat="1" applyFont="1" applyFill="1" applyBorder="1" applyAlignment="1">
      <alignment horizontal="right"/>
    </xf>
    <xf numFmtId="0" fontId="7" fillId="35" borderId="10" xfId="61" applyFont="1" applyFill="1" applyBorder="1" applyAlignment="1">
      <alignment horizontal="right"/>
      <protection/>
    </xf>
    <xf numFmtId="204" fontId="11" fillId="35" borderId="0" xfId="45" applyNumberFormat="1" applyFont="1" applyFill="1" applyBorder="1" applyAlignment="1">
      <alignment horizontal="right"/>
    </xf>
    <xf numFmtId="208" fontId="11" fillId="35" borderId="0" xfId="42" applyNumberFormat="1" applyFont="1" applyFill="1" applyBorder="1" applyAlignment="1">
      <alignment horizontal="right"/>
    </xf>
    <xf numFmtId="203" fontId="11" fillId="35" borderId="0" xfId="45" applyNumberFormat="1" applyFont="1" applyFill="1" applyBorder="1" applyAlignment="1">
      <alignment horizontal="right"/>
    </xf>
    <xf numFmtId="0" fontId="5" fillId="36" borderId="15" xfId="61" applyFont="1" applyFill="1" applyBorder="1" applyAlignment="1">
      <alignment horizontal="center"/>
      <protection/>
    </xf>
    <xf numFmtId="0" fontId="0" fillId="36" borderId="15" xfId="0" applyFont="1" applyFill="1" applyBorder="1" applyAlignment="1">
      <alignment/>
    </xf>
    <xf numFmtId="0" fontId="0" fillId="36" borderId="15" xfId="0" applyFont="1" applyFill="1" applyBorder="1" applyAlignment="1">
      <alignment horizontal="right"/>
    </xf>
    <xf numFmtId="205" fontId="0" fillId="36" borderId="15" xfId="0" applyNumberFormat="1" applyFont="1" applyFill="1" applyBorder="1" applyAlignment="1">
      <alignment horizontal="right"/>
    </xf>
    <xf numFmtId="208" fontId="5" fillId="36" borderId="15" xfId="42" applyNumberFormat="1" applyFont="1" applyFill="1" applyBorder="1" applyAlignment="1">
      <alignment/>
    </xf>
    <xf numFmtId="0" fontId="12" fillId="35" borderId="0" xfId="60" applyFont="1" applyFill="1" applyBorder="1" applyAlignment="1">
      <alignment/>
      <protection/>
    </xf>
    <xf numFmtId="205" fontId="12" fillId="35" borderId="0" xfId="45" applyNumberFormat="1" applyFont="1" applyFill="1" applyBorder="1" applyAlignment="1">
      <alignment/>
    </xf>
    <xf numFmtId="204" fontId="12" fillId="35" borderId="0" xfId="45" applyNumberFormat="1" applyFont="1" applyFill="1" applyBorder="1" applyAlignment="1">
      <alignment/>
    </xf>
    <xf numFmtId="204" fontId="12" fillId="35" borderId="0" xfId="45" applyNumberFormat="1" applyFont="1" applyFill="1" applyBorder="1" applyAlignment="1">
      <alignment horizontal="right"/>
    </xf>
    <xf numFmtId="205" fontId="12" fillId="35" borderId="0" xfId="45" applyNumberFormat="1" applyFont="1" applyFill="1" applyBorder="1" applyAlignment="1">
      <alignment horizontal="right"/>
    </xf>
    <xf numFmtId="0" fontId="11" fillId="35" borderId="0" xfId="60" applyFont="1" applyFill="1" applyBorder="1" applyAlignment="1">
      <alignment/>
      <protection/>
    </xf>
    <xf numFmtId="205" fontId="11" fillId="35" borderId="0" xfId="60" applyNumberFormat="1" applyFont="1" applyFill="1" applyBorder="1" applyAlignment="1">
      <alignment/>
      <protection/>
    </xf>
    <xf numFmtId="0" fontId="11" fillId="35" borderId="0" xfId="60" applyFont="1" applyFill="1" applyBorder="1" applyAlignment="1">
      <alignment horizontal="right"/>
      <protection/>
    </xf>
    <xf numFmtId="205" fontId="11" fillId="35" borderId="0" xfId="60" applyNumberFormat="1" applyFont="1" applyFill="1" applyBorder="1" applyAlignment="1">
      <alignment horizontal="right"/>
      <protection/>
    </xf>
    <xf numFmtId="204" fontId="5" fillId="35" borderId="0" xfId="45" applyNumberFormat="1" applyFont="1" applyFill="1" applyBorder="1" applyAlignment="1">
      <alignment/>
    </xf>
    <xf numFmtId="205" fontId="5" fillId="35" borderId="0" xfId="45" applyNumberFormat="1" applyFont="1" applyFill="1" applyBorder="1" applyAlignment="1">
      <alignment horizontal="right"/>
    </xf>
    <xf numFmtId="203" fontId="5" fillId="35" borderId="0" xfId="45" applyNumberFormat="1" applyFont="1" applyFill="1" applyBorder="1" applyAlignment="1">
      <alignment/>
    </xf>
    <xf numFmtId="205" fontId="5" fillId="36" borderId="25" xfId="45" applyNumberFormat="1" applyFont="1" applyFill="1" applyBorder="1" applyAlignment="1">
      <alignment horizontal="center" vertical="center"/>
    </xf>
    <xf numFmtId="0" fontId="16" fillId="35" borderId="0" xfId="60" applyFont="1" applyFill="1" applyBorder="1">
      <alignment/>
      <protection/>
    </xf>
    <xf numFmtId="0" fontId="0" fillId="35" borderId="19" xfId="68" applyFont="1" applyFill="1" applyBorder="1">
      <alignment/>
      <protection/>
    </xf>
    <xf numFmtId="205" fontId="0" fillId="35" borderId="0" xfId="68" applyNumberFormat="1" applyFont="1" applyFill="1" applyBorder="1">
      <alignment/>
      <protection/>
    </xf>
    <xf numFmtId="0" fontId="0" fillId="35" borderId="0" xfId="68" applyFont="1" applyFill="1" applyBorder="1">
      <alignment/>
      <protection/>
    </xf>
    <xf numFmtId="205" fontId="0" fillId="35" borderId="22" xfId="68" applyNumberFormat="1" applyFont="1" applyFill="1" applyBorder="1">
      <alignment/>
      <protection/>
    </xf>
    <xf numFmtId="205" fontId="0" fillId="35" borderId="14" xfId="68" applyNumberFormat="1" applyFont="1" applyFill="1" applyBorder="1">
      <alignment/>
      <protection/>
    </xf>
    <xf numFmtId="0" fontId="0" fillId="35" borderId="14" xfId="68" applyFont="1" applyFill="1" applyBorder="1">
      <alignment/>
      <protection/>
    </xf>
    <xf numFmtId="205" fontId="0" fillId="35" borderId="26" xfId="68" applyNumberFormat="1" applyFont="1" applyFill="1" applyBorder="1">
      <alignment/>
      <protection/>
    </xf>
    <xf numFmtId="203" fontId="0" fillId="35" borderId="0" xfId="68" applyNumberFormat="1" applyFont="1" applyFill="1" applyBorder="1">
      <alignment/>
      <protection/>
    </xf>
    <xf numFmtId="0" fontId="0" fillId="35" borderId="22" xfId="68" applyFont="1" applyFill="1" applyBorder="1">
      <alignment/>
      <protection/>
    </xf>
    <xf numFmtId="0" fontId="13" fillId="35" borderId="0" xfId="60" applyFont="1" applyFill="1">
      <alignment/>
      <protection/>
    </xf>
    <xf numFmtId="205" fontId="13" fillId="35" borderId="0" xfId="60" applyNumberFormat="1" applyFont="1" applyFill="1">
      <alignment/>
      <protection/>
    </xf>
    <xf numFmtId="204" fontId="7" fillId="35" borderId="0" xfId="60" applyNumberFormat="1" applyFont="1" applyFill="1" applyBorder="1">
      <alignment/>
      <protection/>
    </xf>
    <xf numFmtId="204" fontId="7" fillId="35" borderId="19" xfId="68" applyNumberFormat="1" applyFont="1" applyFill="1" applyBorder="1" applyAlignment="1">
      <alignment horizontal="right"/>
      <protection/>
    </xf>
    <xf numFmtId="205" fontId="7" fillId="35" borderId="0" xfId="68" applyNumberFormat="1" applyFont="1" applyFill="1" applyBorder="1" applyAlignment="1">
      <alignment horizontal="right"/>
      <protection/>
    </xf>
    <xf numFmtId="204" fontId="7" fillId="35" borderId="0" xfId="68" applyNumberFormat="1" applyFont="1" applyFill="1" applyBorder="1" applyAlignment="1">
      <alignment horizontal="right"/>
      <protection/>
    </xf>
    <xf numFmtId="205" fontId="7" fillId="35" borderId="22" xfId="68" applyNumberFormat="1" applyFont="1" applyFill="1" applyBorder="1" applyAlignment="1">
      <alignment horizontal="right"/>
      <protection/>
    </xf>
    <xf numFmtId="203" fontId="7" fillId="35" borderId="0" xfId="68" applyNumberFormat="1" applyFont="1" applyFill="1" applyBorder="1" applyAlignment="1">
      <alignment horizontal="right"/>
      <protection/>
    </xf>
    <xf numFmtId="204" fontId="7" fillId="35" borderId="22" xfId="68" applyNumberFormat="1" applyFont="1" applyFill="1" applyBorder="1" applyAlignment="1">
      <alignment horizontal="right"/>
      <protection/>
    </xf>
    <xf numFmtId="203" fontId="7" fillId="35" borderId="22" xfId="68" applyNumberFormat="1" applyFont="1" applyFill="1" applyBorder="1" applyAlignment="1">
      <alignment horizontal="right"/>
      <protection/>
    </xf>
    <xf numFmtId="0" fontId="13" fillId="0" borderId="0" xfId="61" applyFont="1">
      <alignment/>
      <protection/>
    </xf>
    <xf numFmtId="0" fontId="7" fillId="0" borderId="0" xfId="61" applyFont="1" applyAlignment="1">
      <alignment horizontal="right"/>
      <protection/>
    </xf>
    <xf numFmtId="204" fontId="26" fillId="0" borderId="0" xfId="45" applyNumberFormat="1" applyFont="1" applyAlignment="1">
      <alignment vertical="top"/>
    </xf>
    <xf numFmtId="205" fontId="26" fillId="0" borderId="0" xfId="45" applyNumberFormat="1" applyFont="1" applyAlignment="1">
      <alignment vertical="top"/>
    </xf>
    <xf numFmtId="209" fontId="5" fillId="0" borderId="0" xfId="42" applyNumberFormat="1" applyFont="1" applyBorder="1" applyAlignment="1">
      <alignment horizontal="right"/>
    </xf>
    <xf numFmtId="208" fontId="26" fillId="0" borderId="0" xfId="42" applyNumberFormat="1" applyFont="1" applyBorder="1" applyAlignment="1">
      <alignment horizontal="right" vertical="top"/>
    </xf>
    <xf numFmtId="208" fontId="26" fillId="0" borderId="0" xfId="42" applyNumberFormat="1" applyFont="1" applyBorder="1" applyAlignment="1">
      <alignment horizontal="right"/>
    </xf>
    <xf numFmtId="209" fontId="26" fillId="0" borderId="0" xfId="42" applyNumberFormat="1" applyFont="1" applyBorder="1" applyAlignment="1">
      <alignment horizontal="right"/>
    </xf>
    <xf numFmtId="1" fontId="5" fillId="0" borderId="12" xfId="45" applyNumberFormat="1" applyFont="1" applyBorder="1" applyAlignment="1">
      <alignment horizontal="right"/>
    </xf>
    <xf numFmtId="205" fontId="5" fillId="0" borderId="12" xfId="45" applyNumberFormat="1" applyFont="1" applyBorder="1" applyAlignment="1">
      <alignment horizontal="right"/>
    </xf>
    <xf numFmtId="0" fontId="7" fillId="0" borderId="12" xfId="60" applyFont="1" applyBorder="1" applyAlignment="1">
      <alignment horizontal="right"/>
      <protection/>
    </xf>
    <xf numFmtId="205" fontId="7" fillId="0" borderId="12" xfId="60" applyNumberFormat="1" applyFont="1" applyBorder="1" applyAlignment="1">
      <alignment horizontal="right"/>
      <protection/>
    </xf>
    <xf numFmtId="1" fontId="7" fillId="0" borderId="12" xfId="60" applyNumberFormat="1" applyFont="1" applyBorder="1" applyAlignment="1">
      <alignment horizontal="right"/>
      <protection/>
    </xf>
    <xf numFmtId="0" fontId="7" fillId="0" borderId="11" xfId="60" applyFont="1" applyBorder="1" applyAlignment="1">
      <alignment horizontal="right"/>
      <protection/>
    </xf>
    <xf numFmtId="205" fontId="7" fillId="0" borderId="11" xfId="60" applyNumberFormat="1" applyFont="1" applyBorder="1" applyAlignment="1">
      <alignment horizontal="right"/>
      <protection/>
    </xf>
    <xf numFmtId="1" fontId="5" fillId="0" borderId="11" xfId="45" applyNumberFormat="1" applyFont="1" applyBorder="1" applyAlignment="1">
      <alignment horizontal="right"/>
    </xf>
    <xf numFmtId="0" fontId="5" fillId="0" borderId="27" xfId="60" applyFont="1" applyBorder="1">
      <alignment/>
      <protection/>
    </xf>
    <xf numFmtId="0" fontId="11" fillId="0" borderId="28" xfId="60" applyFont="1" applyBorder="1" applyAlignment="1">
      <alignment vertical="top" wrapText="1"/>
      <protection/>
    </xf>
    <xf numFmtId="0" fontId="11" fillId="0" borderId="28" xfId="60" applyFont="1" applyBorder="1" applyAlignment="1">
      <alignment vertical="top"/>
      <protection/>
    </xf>
    <xf numFmtId="0" fontId="11" fillId="0" borderId="28" xfId="60" applyFont="1" applyBorder="1" applyAlignment="1">
      <alignment horizontal="left" vertical="top" wrapText="1"/>
      <protection/>
    </xf>
    <xf numFmtId="0" fontId="11" fillId="0" borderId="28" xfId="60" applyFont="1" applyBorder="1">
      <alignment/>
      <protection/>
    </xf>
    <xf numFmtId="0" fontId="5" fillId="0" borderId="27" xfId="60" applyFont="1" applyBorder="1" applyAlignment="1">
      <alignment horizontal="left"/>
      <protection/>
    </xf>
    <xf numFmtId="0" fontId="26" fillId="0" borderId="28" xfId="60" applyFont="1" applyBorder="1" applyAlignment="1">
      <alignment horizontal="left"/>
      <protection/>
    </xf>
    <xf numFmtId="192" fontId="7" fillId="0" borderId="0" xfId="60" applyNumberFormat="1" applyFont="1" applyBorder="1" applyAlignment="1">
      <alignment horizontal="right"/>
      <protection/>
    </xf>
    <xf numFmtId="0" fontId="26" fillId="0" borderId="28" xfId="60" applyFont="1" applyBorder="1" applyAlignment="1">
      <alignment vertical="top" wrapText="1"/>
      <protection/>
    </xf>
    <xf numFmtId="0" fontId="11" fillId="0" borderId="29" xfId="60" applyFont="1" applyBorder="1" applyAlignment="1">
      <alignment vertical="top" wrapText="1"/>
      <protection/>
    </xf>
    <xf numFmtId="208" fontId="26" fillId="0" borderId="28" xfId="42" applyNumberFormat="1" applyFont="1" applyBorder="1" applyAlignment="1">
      <alignment horizontal="right" vertical="top"/>
    </xf>
    <xf numFmtId="205" fontId="26" fillId="0" borderId="0" xfId="0" applyNumberFormat="1" applyFont="1" applyAlignment="1">
      <alignment/>
    </xf>
    <xf numFmtId="0" fontId="26" fillId="0" borderId="29" xfId="0" applyFont="1" applyBorder="1" applyAlignment="1">
      <alignment horizontal="center" vertical="top"/>
    </xf>
    <xf numFmtId="0" fontId="26" fillId="0" borderId="29" xfId="0" applyFont="1" applyBorder="1" applyAlignment="1">
      <alignment vertical="top" wrapText="1"/>
    </xf>
    <xf numFmtId="209" fontId="26" fillId="0" borderId="29" xfId="42" applyNumberFormat="1" applyFont="1" applyBorder="1" applyAlignment="1">
      <alignment horizontal="right" vertical="top"/>
    </xf>
    <xf numFmtId="208" fontId="26" fillId="0" borderId="29" xfId="42" applyNumberFormat="1" applyFont="1" applyBorder="1" applyAlignment="1">
      <alignment horizontal="right" vertical="top"/>
    </xf>
    <xf numFmtId="209" fontId="26" fillId="0" borderId="29" xfId="42" applyNumberFormat="1" applyFont="1" applyBorder="1" applyAlignment="1">
      <alignment vertical="top"/>
    </xf>
    <xf numFmtId="0" fontId="26" fillId="0" borderId="29" xfId="0" applyFont="1" applyBorder="1" applyAlignment="1">
      <alignment vertical="top"/>
    </xf>
    <xf numFmtId="0" fontId="29" fillId="0" borderId="0" xfId="60" applyFont="1" applyBorder="1">
      <alignment/>
      <protection/>
    </xf>
    <xf numFmtId="209" fontId="5" fillId="0" borderId="28" xfId="42" applyNumberFormat="1" applyFont="1" applyBorder="1" applyAlignment="1">
      <alignment horizontal="right"/>
    </xf>
    <xf numFmtId="208" fontId="5" fillId="0" borderId="28" xfId="42" applyNumberFormat="1" applyFont="1" applyBorder="1" applyAlignment="1">
      <alignment horizontal="right"/>
    </xf>
    <xf numFmtId="209" fontId="5" fillId="0" borderId="28" xfId="42" applyNumberFormat="1" applyFont="1" applyBorder="1" applyAlignment="1">
      <alignment/>
    </xf>
    <xf numFmtId="0" fontId="26" fillId="0" borderId="28" xfId="60" applyFont="1" applyBorder="1" applyAlignment="1">
      <alignment horizontal="center" vertical="top"/>
      <protection/>
    </xf>
    <xf numFmtId="208" fontId="11" fillId="0" borderId="28" xfId="42" applyNumberFormat="1" applyFont="1" applyBorder="1" applyAlignment="1">
      <alignment horizontal="right" vertical="top" wrapText="1"/>
    </xf>
    <xf numFmtId="0" fontId="5" fillId="33" borderId="30" xfId="60" applyFont="1" applyFill="1" applyBorder="1" applyAlignment="1">
      <alignment horizontal="right"/>
      <protection/>
    </xf>
    <xf numFmtId="208" fontId="5" fillId="33" borderId="30" xfId="42" applyNumberFormat="1" applyFont="1" applyFill="1" applyBorder="1" applyAlignment="1">
      <alignment horizontal="right"/>
    </xf>
    <xf numFmtId="209" fontId="5" fillId="33" borderId="30" xfId="42" applyNumberFormat="1" applyFont="1" applyFill="1" applyBorder="1" applyAlignment="1">
      <alignment/>
    </xf>
    <xf numFmtId="209" fontId="5" fillId="33" borderId="30" xfId="42" applyNumberFormat="1" applyFont="1" applyFill="1" applyBorder="1" applyAlignment="1">
      <alignment horizontal="right"/>
    </xf>
    <xf numFmtId="0" fontId="5" fillId="0" borderId="28" xfId="60" applyFont="1" applyBorder="1">
      <alignment/>
      <protection/>
    </xf>
    <xf numFmtId="208" fontId="5" fillId="0" borderId="27" xfId="42" applyNumberFormat="1" applyFont="1" applyBorder="1" applyAlignment="1">
      <alignment horizontal="right"/>
    </xf>
    <xf numFmtId="0" fontId="5" fillId="33" borderId="29" xfId="60" applyFont="1" applyFill="1" applyBorder="1" applyAlignment="1">
      <alignment horizontal="right"/>
      <protection/>
    </xf>
    <xf numFmtId="208" fontId="5" fillId="33" borderId="29" xfId="42" applyNumberFormat="1" applyFont="1" applyFill="1" applyBorder="1" applyAlignment="1">
      <alignment horizontal="right"/>
    </xf>
    <xf numFmtId="0" fontId="26" fillId="0" borderId="28" xfId="60" applyFont="1" applyBorder="1" applyAlignment="1">
      <alignment horizontal="center" vertical="top" wrapText="1"/>
      <protection/>
    </xf>
    <xf numFmtId="209" fontId="11" fillId="0" borderId="28" xfId="42" applyNumberFormat="1" applyFont="1" applyBorder="1" applyAlignment="1">
      <alignment horizontal="right" vertical="top"/>
    </xf>
    <xf numFmtId="208" fontId="11" fillId="0" borderId="28" xfId="42" applyNumberFormat="1" applyFont="1" applyBorder="1" applyAlignment="1">
      <alignment horizontal="right" vertical="top"/>
    </xf>
    <xf numFmtId="208" fontId="5" fillId="0" borderId="27" xfId="42" applyNumberFormat="1" applyFont="1" applyFill="1" applyBorder="1" applyAlignment="1">
      <alignment horizontal="right"/>
    </xf>
    <xf numFmtId="209" fontId="11" fillId="0" borderId="28" xfId="42" applyNumberFormat="1" applyFont="1" applyBorder="1" applyAlignment="1">
      <alignment vertical="top"/>
    </xf>
    <xf numFmtId="0" fontId="26" fillId="0" borderId="28" xfId="60" applyFont="1" applyBorder="1" applyAlignment="1" quotePrefix="1">
      <alignment horizontal="center" vertical="top" wrapText="1"/>
      <protection/>
    </xf>
    <xf numFmtId="0" fontId="26" fillId="0" borderId="28" xfId="0" applyFont="1" applyBorder="1" applyAlignment="1">
      <alignment horizontal="center" vertical="top"/>
    </xf>
    <xf numFmtId="0" fontId="11" fillId="0" borderId="28" xfId="60" applyFont="1" applyBorder="1" applyAlignment="1" quotePrefix="1">
      <alignment vertical="top" wrapText="1"/>
      <protection/>
    </xf>
    <xf numFmtId="209" fontId="11" fillId="0" borderId="28" xfId="42" applyNumberFormat="1" applyFont="1" applyBorder="1" applyAlignment="1">
      <alignment horizontal="right"/>
    </xf>
    <xf numFmtId="208" fontId="11" fillId="0" borderId="28" xfId="42" applyNumberFormat="1" applyFont="1" applyBorder="1" applyAlignment="1">
      <alignment horizontal="right"/>
    </xf>
    <xf numFmtId="209" fontId="11" fillId="0" borderId="28" xfId="42" applyNumberFormat="1" applyFont="1" applyBorder="1" applyAlignment="1">
      <alignment/>
    </xf>
    <xf numFmtId="0" fontId="26" fillId="34" borderId="28" xfId="60" applyFont="1" applyFill="1" applyBorder="1" applyAlignment="1">
      <alignment horizontal="center" vertical="top"/>
      <protection/>
    </xf>
    <xf numFmtId="208" fontId="11" fillId="34" borderId="28" xfId="42" applyNumberFormat="1" applyFont="1" applyFill="1" applyBorder="1" applyAlignment="1">
      <alignment horizontal="right" vertical="top"/>
    </xf>
    <xf numFmtId="0" fontId="26" fillId="0" borderId="0" xfId="60" applyFont="1" applyBorder="1">
      <alignment/>
      <protection/>
    </xf>
    <xf numFmtId="209" fontId="26" fillId="0" borderId="0" xfId="42" applyNumberFormat="1" applyFont="1" applyBorder="1" applyAlignment="1">
      <alignment/>
    </xf>
    <xf numFmtId="208" fontId="26" fillId="0" borderId="0" xfId="42" applyNumberFormat="1" applyFont="1" applyAlignment="1">
      <alignment horizontal="right"/>
    </xf>
    <xf numFmtId="0" fontId="26" fillId="0" borderId="28" xfId="0" applyFont="1" applyBorder="1" applyAlignment="1">
      <alignment/>
    </xf>
    <xf numFmtId="209" fontId="26" fillId="0" borderId="28" xfId="42" applyNumberFormat="1" applyFont="1" applyBorder="1" applyAlignment="1">
      <alignment vertical="top" wrapText="1"/>
    </xf>
    <xf numFmtId="208" fontId="26" fillId="0" borderId="28" xfId="42" applyNumberFormat="1" applyFont="1" applyBorder="1" applyAlignment="1">
      <alignment horizontal="right" vertical="top" wrapText="1"/>
    </xf>
    <xf numFmtId="0" fontId="26" fillId="0" borderId="28" xfId="0" applyFont="1" applyBorder="1" applyAlignment="1">
      <alignment vertical="top"/>
    </xf>
    <xf numFmtId="0" fontId="26" fillId="0" borderId="28" xfId="0" applyFont="1" applyBorder="1" applyAlignment="1">
      <alignment vertical="top" wrapText="1"/>
    </xf>
    <xf numFmtId="209" fontId="26" fillId="0" borderId="28" xfId="42" applyNumberFormat="1" applyFont="1" applyBorder="1" applyAlignment="1">
      <alignment horizontal="right"/>
    </xf>
    <xf numFmtId="208" fontId="26" fillId="0" borderId="28" xfId="42" applyNumberFormat="1" applyFont="1" applyBorder="1" applyAlignment="1">
      <alignment horizontal="right"/>
    </xf>
    <xf numFmtId="209" fontId="26" fillId="0" borderId="28" xfId="42" applyNumberFormat="1" applyFont="1" applyBorder="1" applyAlignment="1">
      <alignment/>
    </xf>
    <xf numFmtId="209" fontId="26" fillId="0" borderId="28" xfId="42" applyNumberFormat="1" applyFont="1" applyBorder="1" applyAlignment="1">
      <alignment horizontal="right" vertical="top" wrapText="1"/>
    </xf>
    <xf numFmtId="209" fontId="26" fillId="0" borderId="28" xfId="42" applyNumberFormat="1" applyFont="1" applyBorder="1" applyAlignment="1">
      <alignment horizontal="right" vertical="top"/>
    </xf>
    <xf numFmtId="209" fontId="26" fillId="0" borderId="28" xfId="42" applyNumberFormat="1" applyFont="1" applyBorder="1" applyAlignment="1">
      <alignment vertical="top"/>
    </xf>
    <xf numFmtId="209" fontId="11" fillId="34" borderId="28" xfId="42" applyNumberFormat="1" applyFont="1" applyFill="1" applyBorder="1" applyAlignment="1">
      <alignment horizontal="right" vertical="top"/>
    </xf>
    <xf numFmtId="209" fontId="11" fillId="34" borderId="28" xfId="42" applyNumberFormat="1" applyFont="1" applyFill="1" applyBorder="1" applyAlignment="1">
      <alignment vertical="top"/>
    </xf>
    <xf numFmtId="0" fontId="26" fillId="34" borderId="28" xfId="0" applyFont="1" applyFill="1" applyBorder="1" applyAlignment="1">
      <alignment vertical="top"/>
    </xf>
    <xf numFmtId="0" fontId="26" fillId="0" borderId="28" xfId="60" applyFont="1" applyBorder="1">
      <alignment/>
      <protection/>
    </xf>
    <xf numFmtId="209" fontId="26" fillId="0" borderId="0" xfId="42" applyNumberFormat="1" applyFont="1" applyAlignment="1">
      <alignment horizontal="right"/>
    </xf>
    <xf numFmtId="209" fontId="26" fillId="0" borderId="0" xfId="42" applyNumberFormat="1" applyFont="1" applyAlignment="1">
      <alignment/>
    </xf>
    <xf numFmtId="0" fontId="4" fillId="0" borderId="28" xfId="0" applyFont="1" applyBorder="1" applyAlignment="1">
      <alignment/>
    </xf>
    <xf numFmtId="0" fontId="5" fillId="33" borderId="30" xfId="60" applyFont="1" applyFill="1" applyBorder="1">
      <alignment/>
      <protection/>
    </xf>
    <xf numFmtId="209" fontId="5" fillId="0" borderId="27" xfId="42" applyNumberFormat="1" applyFont="1" applyBorder="1" applyAlignment="1">
      <alignment horizontal="right"/>
    </xf>
    <xf numFmtId="209" fontId="5" fillId="0" borderId="27" xfId="42" applyNumberFormat="1" applyFont="1" applyBorder="1" applyAlignment="1">
      <alignment/>
    </xf>
    <xf numFmtId="0" fontId="5" fillId="33" borderId="29" xfId="60" applyFont="1" applyFill="1" applyBorder="1">
      <alignment/>
      <protection/>
    </xf>
    <xf numFmtId="209" fontId="4" fillId="0" borderId="27" xfId="42" applyNumberFormat="1" applyFont="1" applyBorder="1" applyAlignment="1">
      <alignment horizontal="right"/>
    </xf>
    <xf numFmtId="208" fontId="4" fillId="0" borderId="27" xfId="42" applyNumberFormat="1" applyFont="1" applyBorder="1" applyAlignment="1">
      <alignment horizontal="right"/>
    </xf>
    <xf numFmtId="209" fontId="4" fillId="0" borderId="27" xfId="42" applyNumberFormat="1" applyFont="1" applyBorder="1" applyAlignment="1">
      <alignment/>
    </xf>
    <xf numFmtId="0" fontId="26" fillId="0" borderId="28" xfId="0" applyFont="1" applyBorder="1" applyAlignment="1">
      <alignment horizontal="center" vertical="top" wrapText="1"/>
    </xf>
    <xf numFmtId="0" fontId="5" fillId="0" borderId="28" xfId="0" applyFont="1" applyBorder="1" applyAlignment="1">
      <alignment/>
    </xf>
    <xf numFmtId="209" fontId="5" fillId="0" borderId="27" xfId="42" applyNumberFormat="1" applyFont="1" applyFill="1" applyBorder="1" applyAlignment="1">
      <alignment horizontal="right"/>
    </xf>
    <xf numFmtId="209" fontId="5" fillId="0" borderId="27" xfId="42" applyNumberFormat="1" applyFont="1" applyFill="1" applyBorder="1" applyAlignment="1">
      <alignment/>
    </xf>
    <xf numFmtId="0" fontId="4" fillId="33" borderId="30" xfId="60" applyFont="1" applyFill="1" applyBorder="1">
      <alignment/>
      <protection/>
    </xf>
    <xf numFmtId="0" fontId="4" fillId="0" borderId="28" xfId="60" applyFont="1" applyBorder="1" applyAlignment="1">
      <alignment horizontal="center" vertical="top" wrapText="1"/>
      <protection/>
    </xf>
    <xf numFmtId="208" fontId="26" fillId="0" borderId="29" xfId="42" applyNumberFormat="1" applyFont="1" applyBorder="1" applyAlignment="1">
      <alignment horizontal="right" vertical="top" wrapText="1"/>
    </xf>
    <xf numFmtId="208" fontId="26" fillId="0" borderId="28" xfId="42" applyNumberFormat="1" applyFont="1" applyBorder="1" applyAlignment="1">
      <alignment horizontal="center" vertical="top"/>
    </xf>
    <xf numFmtId="208" fontId="26" fillId="0" borderId="28" xfId="42" applyNumberFormat="1" applyFont="1" applyFill="1" applyBorder="1" applyAlignment="1">
      <alignment horizontal="right" vertical="top" wrapText="1"/>
    </xf>
    <xf numFmtId="209" fontId="26" fillId="0" borderId="28" xfId="42" applyNumberFormat="1" applyFont="1" applyFill="1" applyBorder="1" applyAlignment="1">
      <alignment horizontal="right" vertical="top"/>
    </xf>
    <xf numFmtId="209" fontId="26" fillId="0" borderId="28" xfId="42" applyNumberFormat="1" applyFont="1" applyFill="1" applyBorder="1" applyAlignment="1">
      <alignment vertical="top"/>
    </xf>
    <xf numFmtId="208" fontId="26" fillId="0" borderId="28" xfId="42" applyNumberFormat="1" applyFont="1" applyFill="1" applyBorder="1" applyAlignment="1">
      <alignment horizontal="right" vertical="top"/>
    </xf>
    <xf numFmtId="208" fontId="26" fillId="34" borderId="28" xfId="42" applyNumberFormat="1" applyFont="1" applyFill="1" applyBorder="1" applyAlignment="1">
      <alignment horizontal="right" vertical="top"/>
    </xf>
    <xf numFmtId="209" fontId="4" fillId="0" borderId="28" xfId="42" applyNumberFormat="1" applyFont="1" applyFill="1" applyBorder="1" applyAlignment="1">
      <alignment horizontal="right" vertical="top"/>
    </xf>
    <xf numFmtId="208" fontId="4" fillId="0" borderId="28" xfId="42" applyNumberFormat="1" applyFont="1" applyFill="1" applyBorder="1" applyAlignment="1">
      <alignment horizontal="right" vertical="top" wrapText="1"/>
    </xf>
    <xf numFmtId="209" fontId="4" fillId="0" borderId="28" xfId="42" applyNumberFormat="1" applyFont="1" applyFill="1" applyBorder="1" applyAlignment="1">
      <alignment vertical="top"/>
    </xf>
    <xf numFmtId="208" fontId="4" fillId="0" borderId="28" xfId="42" applyNumberFormat="1" applyFont="1" applyFill="1" applyBorder="1" applyAlignment="1">
      <alignment horizontal="right" vertical="top"/>
    </xf>
    <xf numFmtId="0" fontId="26" fillId="0" borderId="0" xfId="60" applyFont="1" applyBorder="1" applyAlignment="1">
      <alignment horizontal="center" vertical="top"/>
      <protection/>
    </xf>
    <xf numFmtId="0" fontId="4" fillId="0" borderId="28" xfId="60" applyFont="1" applyBorder="1" applyAlignment="1">
      <alignment horizontal="center" vertical="top"/>
      <protection/>
    </xf>
    <xf numFmtId="0" fontId="4" fillId="33" borderId="30" xfId="60" applyFont="1" applyFill="1" applyBorder="1" applyAlignment="1">
      <alignment horizontal="center" vertical="top"/>
      <protection/>
    </xf>
    <xf numFmtId="0" fontId="4" fillId="0" borderId="27" xfId="60" applyFont="1" applyBorder="1" applyAlignment="1">
      <alignment horizontal="center" vertical="top"/>
      <protection/>
    </xf>
    <xf numFmtId="0" fontId="4" fillId="33" borderId="29" xfId="60" applyFont="1" applyFill="1" applyBorder="1" applyAlignment="1">
      <alignment horizontal="center" vertical="top"/>
      <protection/>
    </xf>
    <xf numFmtId="0" fontId="5" fillId="0" borderId="27" xfId="60" applyFont="1" applyBorder="1" applyAlignment="1">
      <alignment horizontal="center" vertical="top"/>
      <protection/>
    </xf>
    <xf numFmtId="204" fontId="26" fillId="0" borderId="0" xfId="45" applyNumberFormat="1" applyFont="1" applyBorder="1" applyAlignment="1">
      <alignment horizontal="right" vertical="top"/>
    </xf>
    <xf numFmtId="205" fontId="26" fillId="0" borderId="0" xfId="45" applyNumberFormat="1" applyFont="1" applyBorder="1" applyAlignment="1">
      <alignment horizontal="right" vertical="top"/>
    </xf>
    <xf numFmtId="204" fontId="26" fillId="0" borderId="0" xfId="45" applyNumberFormat="1" applyFont="1" applyBorder="1" applyAlignment="1">
      <alignment horizontal="right"/>
    </xf>
    <xf numFmtId="0" fontId="4" fillId="0" borderId="0" xfId="61" applyFont="1">
      <alignment/>
      <protection/>
    </xf>
    <xf numFmtId="0" fontId="4" fillId="0" borderId="0" xfId="0" applyFont="1" applyAlignment="1">
      <alignment/>
    </xf>
    <xf numFmtId="0" fontId="5" fillId="33" borderId="10" xfId="61" applyFont="1" applyFill="1" applyBorder="1" applyAlignment="1">
      <alignment horizontal="center" vertical="center"/>
      <protection/>
    </xf>
    <xf numFmtId="0" fontId="5" fillId="33" borderId="17" xfId="61" applyFont="1" applyFill="1" applyBorder="1" applyAlignment="1">
      <alignment horizontal="left" vertical="center" wrapText="1"/>
      <protection/>
    </xf>
    <xf numFmtId="0" fontId="4" fillId="33" borderId="17" xfId="61" applyFont="1" applyFill="1" applyBorder="1">
      <alignment/>
      <protection/>
    </xf>
    <xf numFmtId="0" fontId="4" fillId="0" borderId="0" xfId="61" applyFont="1">
      <alignment/>
      <protection/>
    </xf>
    <xf numFmtId="0" fontId="4" fillId="33" borderId="17" xfId="61" applyFont="1" applyFill="1" applyBorder="1" applyAlignment="1">
      <alignment horizontal="left"/>
      <protection/>
    </xf>
    <xf numFmtId="0" fontId="5" fillId="0" borderId="0" xfId="61" applyFont="1">
      <alignment/>
      <protection/>
    </xf>
    <xf numFmtId="0" fontId="7" fillId="0" borderId="0" xfId="61" applyFont="1" applyBorder="1" applyAlignment="1">
      <alignment horizontal="left"/>
      <protection/>
    </xf>
    <xf numFmtId="0" fontId="10" fillId="0" borderId="0" xfId="61" applyFont="1" applyAlignment="1">
      <alignment horizontal="center"/>
      <protection/>
    </xf>
    <xf numFmtId="0" fontId="10" fillId="0" borderId="0" xfId="61" applyFont="1">
      <alignment/>
      <protection/>
    </xf>
    <xf numFmtId="0" fontId="10" fillId="0" borderId="0" xfId="60" applyFont="1" applyBorder="1" applyAlignment="1">
      <alignment horizontal="left"/>
      <protection/>
    </xf>
    <xf numFmtId="204" fontId="7" fillId="0" borderId="0" xfId="45" applyNumberFormat="1" applyFont="1" applyBorder="1" applyAlignment="1">
      <alignment/>
    </xf>
    <xf numFmtId="0" fontId="7" fillId="0" borderId="0" xfId="60" applyFont="1" applyBorder="1" applyAlignment="1">
      <alignment horizontal="left"/>
      <protection/>
    </xf>
    <xf numFmtId="204" fontId="7" fillId="0" borderId="0" xfId="46" applyNumberFormat="1" applyFont="1" applyBorder="1" applyAlignment="1">
      <alignment vertical="center"/>
    </xf>
    <xf numFmtId="0" fontId="10" fillId="0" borderId="0" xfId="61" applyFont="1" applyBorder="1" applyAlignment="1">
      <alignment horizontal="left"/>
      <protection/>
    </xf>
    <xf numFmtId="204" fontId="22" fillId="0" borderId="0" xfId="46" applyNumberFormat="1" applyFont="1" applyBorder="1" applyAlignment="1">
      <alignment vertical="center"/>
    </xf>
    <xf numFmtId="0" fontId="10" fillId="0" borderId="0" xfId="61" applyFont="1" applyFill="1">
      <alignment/>
      <protection/>
    </xf>
    <xf numFmtId="37" fontId="7" fillId="0" borderId="0" xfId="42" applyNumberFormat="1" applyFont="1" applyBorder="1" applyAlignment="1">
      <alignment horizontal="right"/>
    </xf>
    <xf numFmtId="0" fontId="7" fillId="0" borderId="0" xfId="61" applyFont="1" applyFill="1" applyBorder="1" applyAlignment="1">
      <alignment horizontal="center"/>
      <protection/>
    </xf>
    <xf numFmtId="0" fontId="25" fillId="0" borderId="0" xfId="0" applyFont="1" applyFill="1" applyAlignment="1">
      <alignment/>
    </xf>
    <xf numFmtId="0" fontId="10" fillId="0" borderId="0" xfId="61" applyFont="1" applyAlignment="1">
      <alignment horizontal="center"/>
      <protection/>
    </xf>
    <xf numFmtId="0" fontId="10" fillId="0" borderId="0" xfId="61" applyFont="1" applyFill="1">
      <alignment/>
      <protection/>
    </xf>
    <xf numFmtId="0" fontId="5" fillId="0" borderId="15" xfId="61" applyFont="1" applyBorder="1" applyAlignment="1">
      <alignment horizontal="center" vertical="center"/>
      <protection/>
    </xf>
    <xf numFmtId="0" fontId="5" fillId="0" borderId="15" xfId="61" applyFont="1" applyBorder="1" applyAlignment="1">
      <alignment horizontal="left" vertical="center" wrapText="1"/>
      <protection/>
    </xf>
    <xf numFmtId="0" fontId="5" fillId="0" borderId="15" xfId="61" applyFont="1" applyFill="1" applyBorder="1" applyAlignment="1">
      <alignment horizontal="center" vertical="center"/>
      <protection/>
    </xf>
    <xf numFmtId="203" fontId="5" fillId="0" borderId="15" xfId="46" applyNumberFormat="1" applyFont="1" applyBorder="1" applyAlignment="1">
      <alignment horizontal="center" vertical="center" wrapText="1"/>
    </xf>
    <xf numFmtId="0" fontId="5" fillId="0" borderId="14" xfId="61" applyFont="1" applyBorder="1" applyAlignment="1">
      <alignment horizontal="left" vertical="top"/>
      <protection/>
    </xf>
    <xf numFmtId="0" fontId="34" fillId="0" borderId="0" xfId="61" applyFont="1" applyFill="1" applyBorder="1" applyAlignment="1">
      <alignment horizontal="left" vertical="top" wrapText="1"/>
      <protection/>
    </xf>
    <xf numFmtId="0" fontId="26" fillId="0" borderId="0" xfId="61" applyFont="1" applyBorder="1" applyAlignment="1">
      <alignment vertical="top" wrapText="1"/>
      <protection/>
    </xf>
    <xf numFmtId="0" fontId="26" fillId="0" borderId="0" xfId="61" applyFont="1" applyBorder="1" applyAlignment="1">
      <alignment horizontal="center" vertical="top"/>
      <protection/>
    </xf>
    <xf numFmtId="206" fontId="26" fillId="0" borderId="0" xfId="46" applyNumberFormat="1" applyFont="1" applyBorder="1" applyAlignment="1">
      <alignment horizontal="right" vertical="top" wrapText="1"/>
    </xf>
    <xf numFmtId="0" fontId="26" fillId="0" borderId="10" xfId="61" applyFont="1" applyBorder="1" applyAlignment="1">
      <alignment horizontal="center" vertical="top" wrapText="1"/>
      <protection/>
    </xf>
    <xf numFmtId="206" fontId="26" fillId="0" borderId="10" xfId="46" applyNumberFormat="1" applyFont="1" applyBorder="1" applyAlignment="1">
      <alignment horizontal="right" vertical="top" wrapText="1"/>
    </xf>
    <xf numFmtId="0" fontId="26" fillId="0" borderId="0" xfId="61" applyFont="1" applyBorder="1" applyAlignment="1">
      <alignment horizontal="center" vertical="top" wrapText="1"/>
      <protection/>
    </xf>
    <xf numFmtId="0" fontId="5" fillId="33" borderId="17" xfId="61" applyFont="1" applyFill="1" applyBorder="1" applyAlignment="1">
      <alignment horizontal="left" vertical="top" wrapText="1"/>
      <protection/>
    </xf>
    <xf numFmtId="0" fontId="5" fillId="0" borderId="17" xfId="61" applyFont="1" applyBorder="1">
      <alignment/>
      <protection/>
    </xf>
    <xf numFmtId="0" fontId="35" fillId="0" borderId="17" xfId="0" applyFont="1" applyBorder="1" applyAlignment="1">
      <alignment/>
    </xf>
    <xf numFmtId="0" fontId="34" fillId="0" borderId="10" xfId="61" applyFont="1" applyFill="1" applyBorder="1" applyAlignment="1">
      <alignment horizontal="left" vertical="top" wrapText="1"/>
      <protection/>
    </xf>
    <xf numFmtId="0" fontId="35" fillId="0" borderId="0" xfId="0" applyFont="1" applyAlignment="1">
      <alignment/>
    </xf>
    <xf numFmtId="0" fontId="5" fillId="33" borderId="16" xfId="61" applyFont="1" applyFill="1" applyBorder="1" applyAlignment="1">
      <alignment horizontal="left"/>
      <protection/>
    </xf>
    <xf numFmtId="0" fontId="5" fillId="33" borderId="16" xfId="61" applyFont="1" applyFill="1" applyBorder="1" applyAlignment="1">
      <alignment horizontal="center" vertical="center"/>
      <protection/>
    </xf>
    <xf numFmtId="0" fontId="5" fillId="33" borderId="16" xfId="61" applyFont="1" applyFill="1" applyBorder="1">
      <alignment/>
      <protection/>
    </xf>
    <xf numFmtId="206" fontId="5" fillId="33" borderId="16" xfId="61" applyNumberFormat="1" applyFont="1" applyFill="1" applyBorder="1" applyAlignment="1">
      <alignment horizontal="right" vertical="center"/>
      <protection/>
    </xf>
    <xf numFmtId="0" fontId="5" fillId="0" borderId="15" xfId="61" applyFont="1" applyBorder="1" applyAlignment="1">
      <alignment horizontal="left"/>
      <protection/>
    </xf>
    <xf numFmtId="0" fontId="5" fillId="0" borderId="15" xfId="61" applyFont="1" applyBorder="1" applyAlignment="1">
      <alignment vertical="center"/>
      <protection/>
    </xf>
    <xf numFmtId="0" fontId="35" fillId="0" borderId="0" xfId="0" applyFont="1" applyBorder="1" applyAlignment="1">
      <alignment/>
    </xf>
    <xf numFmtId="0" fontId="7" fillId="0" borderId="0" xfId="61" applyFont="1" applyBorder="1" applyAlignment="1">
      <alignment horizontal="center"/>
      <protection/>
    </xf>
    <xf numFmtId="3" fontId="5" fillId="33" borderId="17" xfId="61" applyNumberFormat="1" applyFont="1" applyFill="1" applyBorder="1" applyAlignment="1">
      <alignment horizontal="center" vertical="top"/>
      <protection/>
    </xf>
    <xf numFmtId="204" fontId="5" fillId="0" borderId="15" xfId="46" applyNumberFormat="1" applyFont="1" applyBorder="1" applyAlignment="1">
      <alignment horizontal="center" vertical="center"/>
    </xf>
    <xf numFmtId="0" fontId="25" fillId="0" borderId="0" xfId="0" applyFont="1" applyAlignment="1">
      <alignment horizontal="center"/>
    </xf>
    <xf numFmtId="0" fontId="26" fillId="0" borderId="28" xfId="60" applyFont="1" applyBorder="1" applyAlignment="1">
      <alignment horizontal="left" vertical="top" wrapText="1"/>
      <protection/>
    </xf>
    <xf numFmtId="0" fontId="26" fillId="0" borderId="28" xfId="60" applyFont="1" applyFill="1" applyBorder="1" applyAlignment="1">
      <alignment vertical="top" wrapText="1"/>
      <protection/>
    </xf>
    <xf numFmtId="0" fontId="26" fillId="34" borderId="28" xfId="60" applyFont="1" applyFill="1" applyBorder="1" applyAlignment="1">
      <alignment horizontal="left" vertical="top" wrapText="1"/>
      <protection/>
    </xf>
    <xf numFmtId="203" fontId="13" fillId="0" borderId="0" xfId="45" applyNumberFormat="1" applyFont="1" applyBorder="1" applyAlignment="1">
      <alignment/>
    </xf>
    <xf numFmtId="204" fontId="13" fillId="0" borderId="0" xfId="45" applyNumberFormat="1" applyFont="1" applyBorder="1" applyAlignment="1">
      <alignment horizontal="center"/>
    </xf>
    <xf numFmtId="204" fontId="16" fillId="0" borderId="0" xfId="45" applyNumberFormat="1" applyFont="1" applyBorder="1" applyAlignment="1">
      <alignment/>
    </xf>
    <xf numFmtId="0" fontId="24" fillId="0" borderId="0" xfId="0" applyFont="1" applyBorder="1" applyAlignment="1">
      <alignment/>
    </xf>
    <xf numFmtId="0" fontId="4" fillId="0" borderId="0" xfId="60" applyFont="1" applyBorder="1" applyAlignment="1">
      <alignment horizontal="center"/>
      <protection/>
    </xf>
    <xf numFmtId="205" fontId="4" fillId="0" borderId="0" xfId="45" applyNumberFormat="1" applyFont="1" applyBorder="1" applyAlignment="1">
      <alignment/>
    </xf>
    <xf numFmtId="204" fontId="4" fillId="0" borderId="0" xfId="45" applyNumberFormat="1" applyFont="1" applyBorder="1" applyAlignment="1">
      <alignment/>
    </xf>
    <xf numFmtId="204" fontId="4" fillId="0" borderId="0" xfId="45" applyNumberFormat="1" applyFont="1" applyBorder="1" applyAlignment="1">
      <alignment horizontal="center"/>
    </xf>
    <xf numFmtId="0" fontId="4" fillId="0" borderId="0" xfId="60" applyFont="1" applyBorder="1">
      <alignment/>
      <protection/>
    </xf>
    <xf numFmtId="205" fontId="4" fillId="0" borderId="0" xfId="60" applyNumberFormat="1" applyFont="1" applyBorder="1">
      <alignment/>
      <protection/>
    </xf>
    <xf numFmtId="208" fontId="5" fillId="33" borderId="15" xfId="42" applyNumberFormat="1" applyFont="1" applyFill="1" applyBorder="1" applyAlignment="1">
      <alignment horizontal="center"/>
    </xf>
    <xf numFmtId="209" fontId="5" fillId="33" borderId="15" xfId="42" applyNumberFormat="1" applyFont="1" applyFill="1" applyBorder="1" applyAlignment="1">
      <alignment/>
    </xf>
    <xf numFmtId="209" fontId="5" fillId="33" borderId="15" xfId="42" applyNumberFormat="1" applyFont="1" applyFill="1" applyBorder="1" applyAlignment="1">
      <alignment horizontal="center"/>
    </xf>
    <xf numFmtId="209" fontId="0" fillId="33" borderId="15" xfId="42" applyNumberFormat="1" applyFont="1" applyFill="1" applyBorder="1" applyAlignment="1">
      <alignment/>
    </xf>
    <xf numFmtId="209" fontId="13" fillId="33" borderId="15" xfId="42" applyNumberFormat="1" applyFont="1" applyFill="1" applyBorder="1" applyAlignment="1">
      <alignment/>
    </xf>
    <xf numFmtId="209" fontId="13" fillId="33" borderId="15" xfId="42" applyNumberFormat="1" applyFont="1" applyFill="1" applyBorder="1" applyAlignment="1">
      <alignment horizontal="center"/>
    </xf>
    <xf numFmtId="205" fontId="5" fillId="0" borderId="0" xfId="60" applyNumberFormat="1" applyFont="1" applyBorder="1">
      <alignment/>
      <protection/>
    </xf>
    <xf numFmtId="0" fontId="26" fillId="0" borderId="11" xfId="61" applyFont="1" applyBorder="1">
      <alignment/>
      <protection/>
    </xf>
    <xf numFmtId="208" fontId="5" fillId="0" borderId="15" xfId="42" applyNumberFormat="1" applyFont="1" applyBorder="1" applyAlignment="1">
      <alignment vertical="center"/>
    </xf>
    <xf numFmtId="208" fontId="5" fillId="0" borderId="0" xfId="42" applyNumberFormat="1" applyFont="1" applyBorder="1" applyAlignment="1">
      <alignment vertical="center"/>
    </xf>
    <xf numFmtId="0" fontId="26" fillId="34" borderId="0" xfId="61" applyFont="1" applyFill="1" applyBorder="1" applyAlignment="1">
      <alignment vertical="top"/>
      <protection/>
    </xf>
    <xf numFmtId="204" fontId="7" fillId="35" borderId="19" xfId="68" applyNumberFormat="1" applyFont="1" applyFill="1" applyBorder="1">
      <alignment/>
      <protection/>
    </xf>
    <xf numFmtId="205" fontId="7" fillId="35" borderId="0" xfId="68" applyNumberFormat="1" applyFont="1" applyFill="1" applyBorder="1">
      <alignment/>
      <protection/>
    </xf>
    <xf numFmtId="204" fontId="7" fillId="35" borderId="0" xfId="68" applyNumberFormat="1" applyFont="1" applyFill="1" applyBorder="1">
      <alignment/>
      <protection/>
    </xf>
    <xf numFmtId="205" fontId="7" fillId="35" borderId="22" xfId="68" applyNumberFormat="1" applyFont="1" applyFill="1" applyBorder="1">
      <alignment/>
      <protection/>
    </xf>
    <xf numFmtId="203" fontId="7" fillId="35" borderId="19" xfId="68" applyNumberFormat="1" applyFont="1" applyFill="1" applyBorder="1" applyAlignment="1">
      <alignment horizontal="right"/>
      <protection/>
    </xf>
    <xf numFmtId="1" fontId="7" fillId="0" borderId="19" xfId="68" applyNumberFormat="1" applyFont="1" applyBorder="1" applyAlignment="1">
      <alignment horizontal="right"/>
      <protection/>
    </xf>
    <xf numFmtId="203" fontId="7" fillId="35" borderId="0" xfId="68" applyNumberFormat="1" applyFont="1" applyFill="1" applyBorder="1">
      <alignment/>
      <protection/>
    </xf>
    <xf numFmtId="204" fontId="7" fillId="35" borderId="22" xfId="68" applyNumberFormat="1" applyFont="1" applyFill="1" applyBorder="1">
      <alignment/>
      <protection/>
    </xf>
    <xf numFmtId="203" fontId="7" fillId="0" borderId="23" xfId="68" applyNumberFormat="1" applyFont="1" applyBorder="1" applyAlignment="1">
      <alignment horizontal="right"/>
      <protection/>
    </xf>
    <xf numFmtId="204" fontId="7" fillId="0" borderId="11" xfId="60" applyNumberFormat="1" applyFont="1" applyBorder="1">
      <alignment/>
      <protection/>
    </xf>
    <xf numFmtId="0" fontId="16" fillId="0" borderId="11" xfId="60" applyFont="1" applyFill="1" applyBorder="1">
      <alignment/>
      <protection/>
    </xf>
    <xf numFmtId="204" fontId="0" fillId="0" borderId="11" xfId="0" applyNumberFormat="1" applyFont="1" applyFill="1" applyBorder="1" applyAlignment="1">
      <alignment/>
    </xf>
    <xf numFmtId="0" fontId="0" fillId="0" borderId="11" xfId="0" applyFont="1" applyFill="1" applyBorder="1" applyAlignment="1">
      <alignment/>
    </xf>
    <xf numFmtId="0" fontId="13" fillId="0" borderId="11" xfId="60" applyFont="1" applyFill="1" applyBorder="1">
      <alignment/>
      <protection/>
    </xf>
    <xf numFmtId="0" fontId="16" fillId="0" borderId="15" xfId="60" applyFont="1" applyBorder="1" applyAlignment="1">
      <alignment horizontal="center" vertical="center"/>
      <protection/>
    </xf>
    <xf numFmtId="203" fontId="16" fillId="0" borderId="24" xfId="68" applyNumberFormat="1" applyFont="1" applyBorder="1" applyAlignment="1">
      <alignment vertical="center"/>
      <protection/>
    </xf>
    <xf numFmtId="204" fontId="16" fillId="0" borderId="15" xfId="60" applyNumberFormat="1" applyFont="1" applyBorder="1" applyAlignment="1">
      <alignment vertical="center"/>
      <protection/>
    </xf>
    <xf numFmtId="204" fontId="13" fillId="0" borderId="15" xfId="60" applyNumberFormat="1" applyFont="1" applyBorder="1" applyAlignment="1">
      <alignment vertical="center"/>
      <protection/>
    </xf>
    <xf numFmtId="0" fontId="16" fillId="0" borderId="15" xfId="60" applyFont="1" applyBorder="1" applyAlignment="1">
      <alignment vertical="center"/>
      <protection/>
    </xf>
    <xf numFmtId="0" fontId="0" fillId="0" borderId="15" xfId="0" applyFont="1" applyBorder="1" applyAlignment="1">
      <alignment/>
    </xf>
    <xf numFmtId="208" fontId="16" fillId="0" borderId="15" xfId="42" applyNumberFormat="1" applyFont="1" applyBorder="1" applyAlignment="1">
      <alignment vertical="center"/>
    </xf>
    <xf numFmtId="208" fontId="16" fillId="0" borderId="24" xfId="42" applyNumberFormat="1" applyFont="1" applyBorder="1" applyAlignment="1">
      <alignment vertical="center"/>
    </xf>
    <xf numFmtId="205" fontId="7" fillId="35" borderId="16" xfId="68" applyNumberFormat="1" applyFont="1" applyFill="1" applyBorder="1" applyAlignment="1">
      <alignment horizontal="right"/>
      <protection/>
    </xf>
    <xf numFmtId="205" fontId="7" fillId="35" borderId="31" xfId="68" applyNumberFormat="1" applyFont="1" applyFill="1" applyBorder="1" applyAlignment="1">
      <alignment horizontal="right"/>
      <protection/>
    </xf>
    <xf numFmtId="204" fontId="11" fillId="0" borderId="11" xfId="45" applyNumberFormat="1" applyFont="1" applyBorder="1" applyAlignment="1">
      <alignment/>
    </xf>
    <xf numFmtId="208" fontId="11" fillId="0" borderId="11" xfId="42" applyNumberFormat="1" applyFont="1" applyBorder="1" applyAlignment="1">
      <alignment/>
    </xf>
    <xf numFmtId="208" fontId="7" fillId="0" borderId="22" xfId="42" applyNumberFormat="1" applyFont="1" applyBorder="1" applyAlignment="1">
      <alignment horizontal="right"/>
    </xf>
    <xf numFmtId="208" fontId="7" fillId="0" borderId="0" xfId="42" applyNumberFormat="1" applyFont="1" applyAlignment="1">
      <alignment/>
    </xf>
    <xf numFmtId="208" fontId="7" fillId="0" borderId="11" xfId="42" applyNumberFormat="1" applyFont="1" applyBorder="1" applyAlignment="1">
      <alignment/>
    </xf>
    <xf numFmtId="208" fontId="7" fillId="35" borderId="0" xfId="42" applyNumberFormat="1" applyFont="1" applyFill="1" applyAlignment="1">
      <alignment/>
    </xf>
    <xf numFmtId="208" fontId="7" fillId="0" borderId="15" xfId="42" applyNumberFormat="1" applyFont="1" applyBorder="1" applyAlignment="1">
      <alignment/>
    </xf>
    <xf numFmtId="208" fontId="7" fillId="0" borderId="0" xfId="42" applyNumberFormat="1" applyFont="1" applyBorder="1" applyAlignment="1">
      <alignment horizontal="right"/>
    </xf>
    <xf numFmtId="208" fontId="7" fillId="0" borderId="11" xfId="42" applyNumberFormat="1" applyFont="1" applyBorder="1" applyAlignment="1">
      <alignment horizontal="right"/>
    </xf>
    <xf numFmtId="208" fontId="11" fillId="35" borderId="0" xfId="42" applyNumberFormat="1" applyFont="1" applyFill="1" applyBorder="1" applyAlignment="1">
      <alignment/>
    </xf>
    <xf numFmtId="208" fontId="0" fillId="36" borderId="15" xfId="42" applyNumberFormat="1" applyFont="1" applyFill="1" applyBorder="1" applyAlignment="1">
      <alignment/>
    </xf>
    <xf numFmtId="1" fontId="0" fillId="0" borderId="0" xfId="0" applyNumberFormat="1" applyFont="1" applyAlignment="1">
      <alignment horizontal="right"/>
    </xf>
    <xf numFmtId="208" fontId="0" fillId="36" borderId="15" xfId="42" applyNumberFormat="1" applyFont="1" applyFill="1" applyBorder="1" applyAlignment="1">
      <alignment horizontal="right"/>
    </xf>
    <xf numFmtId="209" fontId="0" fillId="36" borderId="15" xfId="42" applyNumberFormat="1" applyFont="1" applyFill="1" applyBorder="1" applyAlignment="1">
      <alignment/>
    </xf>
    <xf numFmtId="205" fontId="11" fillId="0" borderId="11" xfId="45" applyNumberFormat="1" applyFont="1" applyBorder="1" applyAlignment="1">
      <alignment/>
    </xf>
    <xf numFmtId="205" fontId="11" fillId="0" borderId="11" xfId="45" applyNumberFormat="1" applyFont="1" applyBorder="1" applyAlignment="1">
      <alignment horizontal="center"/>
    </xf>
    <xf numFmtId="208" fontId="5" fillId="0" borderId="15" xfId="42" applyNumberFormat="1" applyFont="1" applyBorder="1" applyAlignment="1">
      <alignment horizontal="center" vertical="top"/>
    </xf>
    <xf numFmtId="208" fontId="5" fillId="0" borderId="15" xfId="42" applyNumberFormat="1" applyFont="1" applyBorder="1" applyAlignment="1">
      <alignment vertical="top"/>
    </xf>
    <xf numFmtId="208" fontId="5" fillId="0" borderId="15" xfId="42" applyNumberFormat="1" applyFont="1" applyBorder="1" applyAlignment="1">
      <alignment horizontal="right" vertical="top"/>
    </xf>
    <xf numFmtId="208" fontId="5" fillId="0" borderId="0" xfId="42" applyNumberFormat="1" applyFont="1" applyAlignment="1">
      <alignment/>
    </xf>
    <xf numFmtId="208" fontId="0" fillId="0" borderId="12" xfId="42" applyNumberFormat="1" applyFont="1" applyBorder="1" applyAlignment="1">
      <alignment/>
    </xf>
    <xf numFmtId="208" fontId="26" fillId="0" borderId="0" xfId="42" applyNumberFormat="1" applyFont="1" applyAlignment="1">
      <alignment/>
    </xf>
    <xf numFmtId="208" fontId="11" fillId="0" borderId="0" xfId="42" applyNumberFormat="1" applyFont="1" applyBorder="1" applyAlignment="1">
      <alignment horizontal="right" vertical="top"/>
    </xf>
    <xf numFmtId="208" fontId="0" fillId="0" borderId="0" xfId="42" applyNumberFormat="1" applyFont="1" applyAlignment="1">
      <alignment/>
    </xf>
    <xf numFmtId="208" fontId="4" fillId="0" borderId="0" xfId="42" applyNumberFormat="1" applyFont="1" applyAlignment="1">
      <alignment/>
    </xf>
    <xf numFmtId="0" fontId="26" fillId="0" borderId="0" xfId="61" applyFont="1" applyBorder="1">
      <alignment/>
      <protection/>
    </xf>
    <xf numFmtId="203" fontId="5" fillId="0" borderId="0" xfId="61" applyNumberFormat="1" applyFont="1" applyBorder="1" applyAlignment="1">
      <alignment vertical="center"/>
      <protection/>
    </xf>
    <xf numFmtId="208" fontId="5" fillId="0" borderId="11" xfId="42" applyNumberFormat="1" applyFont="1" applyBorder="1" applyAlignment="1">
      <alignment vertical="center"/>
    </xf>
    <xf numFmtId="203" fontId="5" fillId="0" borderId="11" xfId="61" applyNumberFormat="1" applyFont="1" applyBorder="1" applyAlignment="1">
      <alignment vertical="center"/>
      <protection/>
    </xf>
    <xf numFmtId="0" fontId="9" fillId="0" borderId="14" xfId="61" applyFont="1" applyBorder="1" applyAlignment="1">
      <alignment horizontal="center" vertical="center"/>
      <protection/>
    </xf>
    <xf numFmtId="0" fontId="11" fillId="0" borderId="14" xfId="61" applyFont="1" applyBorder="1" applyAlignment="1">
      <alignment horizontal="left" vertical="center" wrapText="1"/>
      <protection/>
    </xf>
    <xf numFmtId="0" fontId="9" fillId="0" borderId="14" xfId="61" applyFont="1" applyFill="1" applyBorder="1" applyAlignment="1">
      <alignment horizontal="center" vertical="center"/>
      <protection/>
    </xf>
    <xf numFmtId="0" fontId="26" fillId="0" borderId="12" xfId="61" applyFont="1" applyBorder="1" applyAlignment="1">
      <alignment horizontal="center"/>
      <protection/>
    </xf>
    <xf numFmtId="0" fontId="4" fillId="0" borderId="12" xfId="61" applyFill="1" applyBorder="1">
      <alignment/>
      <protection/>
    </xf>
    <xf numFmtId="0" fontId="4" fillId="0" borderId="12" xfId="61" applyBorder="1" applyAlignment="1">
      <alignment horizontal="center" vertical="center"/>
      <protection/>
    </xf>
    <xf numFmtId="3" fontId="5" fillId="0" borderId="15" xfId="46" applyNumberFormat="1" applyFont="1" applyBorder="1" applyAlignment="1">
      <alignment vertical="top"/>
    </xf>
    <xf numFmtId="0" fontId="26" fillId="0" borderId="28" xfId="60" applyFont="1" applyBorder="1" applyAlignment="1" quotePrefix="1">
      <alignment vertical="top" wrapText="1"/>
      <protection/>
    </xf>
    <xf numFmtId="0" fontId="26" fillId="0" borderId="28" xfId="60" applyFont="1" applyFill="1" applyBorder="1" applyAlignment="1" quotePrefix="1">
      <alignment horizontal="left" vertical="top" wrapText="1"/>
      <protection/>
    </xf>
    <xf numFmtId="0" fontId="26" fillId="0" borderId="28" xfId="60" applyFont="1" applyFill="1" applyBorder="1" applyAlignment="1">
      <alignment horizontal="left" vertical="top" wrapText="1"/>
      <protection/>
    </xf>
    <xf numFmtId="0" fontId="26" fillId="0" borderId="28" xfId="60" applyFont="1" applyBorder="1" applyAlignment="1">
      <alignment wrapText="1"/>
      <protection/>
    </xf>
    <xf numFmtId="0" fontId="0" fillId="0" borderId="0" xfId="0" applyAlignment="1">
      <alignment horizontal="center"/>
    </xf>
    <xf numFmtId="0" fontId="7" fillId="0" borderId="0" xfId="61" applyFont="1" applyAlignment="1">
      <alignment horizontal="center"/>
      <protection/>
    </xf>
    <xf numFmtId="0" fontId="4" fillId="0" borderId="0" xfId="61" applyAlignment="1">
      <alignment horizontal="right"/>
      <protection/>
    </xf>
    <xf numFmtId="0" fontId="10" fillId="0" borderId="0" xfId="61" applyFont="1" applyAlignment="1">
      <alignment horizontal="right"/>
      <protection/>
    </xf>
    <xf numFmtId="0" fontId="5" fillId="0" borderId="0" xfId="61" applyFont="1" applyBorder="1" applyAlignment="1">
      <alignment horizontal="right"/>
      <protection/>
    </xf>
    <xf numFmtId="0" fontId="6" fillId="0" borderId="0" xfId="61" applyFont="1" applyAlignment="1">
      <alignment horizontal="right"/>
      <protection/>
    </xf>
    <xf numFmtId="0" fontId="0" fillId="0" borderId="0" xfId="0" applyAlignment="1">
      <alignment horizontal="right"/>
    </xf>
    <xf numFmtId="0" fontId="12" fillId="0" borderId="0" xfId="61" applyFont="1" applyAlignment="1">
      <alignment horizontal="right"/>
      <protection/>
    </xf>
    <xf numFmtId="0" fontId="11" fillId="0" borderId="28" xfId="61" applyFont="1" applyBorder="1" applyAlignment="1">
      <alignment horizontal="center" vertical="top" wrapText="1"/>
      <protection/>
    </xf>
    <xf numFmtId="0" fontId="33" fillId="0" borderId="28" xfId="61" applyFont="1" applyFill="1" applyBorder="1" applyAlignment="1">
      <alignment horizontal="left" vertical="top" wrapText="1"/>
      <protection/>
    </xf>
    <xf numFmtId="0" fontId="4" fillId="0" borderId="28" xfId="61" applyFont="1" applyBorder="1" applyAlignment="1">
      <alignment horizontal="center" vertical="top"/>
      <protection/>
    </xf>
    <xf numFmtId="0" fontId="4" fillId="0" borderId="28" xfId="61" applyFont="1" applyBorder="1" applyAlignment="1">
      <alignment horizontal="right" vertical="top"/>
      <protection/>
    </xf>
    <xf numFmtId="0" fontId="11" fillId="33" borderId="32" xfId="61" applyFont="1" applyFill="1" applyBorder="1" applyAlignment="1">
      <alignment horizontal="center" vertical="center"/>
      <protection/>
    </xf>
    <xf numFmtId="0" fontId="26" fillId="33" borderId="30" xfId="61" applyFont="1" applyFill="1" applyBorder="1" applyAlignment="1">
      <alignment horizontal="left" vertical="center" wrapText="1"/>
      <protection/>
    </xf>
    <xf numFmtId="0" fontId="11" fillId="33" borderId="30" xfId="61" applyFont="1" applyFill="1" applyBorder="1" applyAlignment="1">
      <alignment horizontal="center" vertical="center"/>
      <protection/>
    </xf>
    <xf numFmtId="0" fontId="5" fillId="33" borderId="30" xfId="61" applyFont="1" applyFill="1" applyBorder="1" applyAlignment="1">
      <alignment horizontal="center" vertical="center"/>
      <protection/>
    </xf>
    <xf numFmtId="0" fontId="5" fillId="33" borderId="30" xfId="61" applyFont="1" applyFill="1" applyBorder="1" applyAlignment="1">
      <alignment horizontal="right" vertical="center"/>
      <protection/>
    </xf>
    <xf numFmtId="0" fontId="5" fillId="0" borderId="22" xfId="61" applyFont="1" applyBorder="1" applyAlignment="1">
      <alignment horizontal="center" vertical="top" wrapText="1"/>
      <protection/>
    </xf>
    <xf numFmtId="205" fontId="5" fillId="33" borderId="30" xfId="61" applyNumberFormat="1" applyFont="1" applyFill="1" applyBorder="1" applyAlignment="1">
      <alignment horizontal="right" vertical="center"/>
      <protection/>
    </xf>
    <xf numFmtId="0" fontId="7" fillId="0" borderId="24" xfId="61" applyFont="1" applyBorder="1" applyAlignment="1">
      <alignment horizontal="center" vertical="top"/>
      <protection/>
    </xf>
    <xf numFmtId="0" fontId="26" fillId="0" borderId="33" xfId="61" applyFont="1" applyBorder="1" applyAlignment="1">
      <alignment horizontal="left" vertical="top"/>
      <protection/>
    </xf>
    <xf numFmtId="0" fontId="7" fillId="0" borderId="33" xfId="61" applyFont="1" applyBorder="1" applyAlignment="1">
      <alignment horizontal="center" vertical="top"/>
      <protection/>
    </xf>
    <xf numFmtId="0" fontId="5" fillId="0" borderId="33" xfId="61" applyFont="1" applyFill="1" applyBorder="1" applyAlignment="1">
      <alignment horizontal="center" vertical="top"/>
      <protection/>
    </xf>
    <xf numFmtId="204" fontId="5" fillId="0" borderId="33" xfId="46" applyNumberFormat="1" applyFont="1" applyBorder="1" applyAlignment="1">
      <alignment vertical="top"/>
    </xf>
    <xf numFmtId="0" fontId="4" fillId="0" borderId="28" xfId="61" applyFont="1" applyBorder="1" applyAlignment="1">
      <alignment horizontal="left" vertical="top" wrapText="1"/>
      <protection/>
    </xf>
    <xf numFmtId="0" fontId="11" fillId="0" borderId="32" xfId="61" applyFont="1" applyBorder="1" applyAlignment="1">
      <alignment horizontal="center" vertical="top" wrapText="1"/>
      <protection/>
    </xf>
    <xf numFmtId="0" fontId="26" fillId="0" borderId="30" xfId="61" applyFont="1" applyBorder="1" applyAlignment="1">
      <alignment horizontal="left" vertical="top" wrapText="1"/>
      <protection/>
    </xf>
    <xf numFmtId="0" fontId="11" fillId="0" borderId="30" xfId="61" applyFont="1" applyBorder="1" applyAlignment="1">
      <alignment horizontal="center" vertical="top" wrapText="1"/>
      <protection/>
    </xf>
    <xf numFmtId="0" fontId="33" fillId="0" borderId="30" xfId="61" applyFont="1" applyFill="1" applyBorder="1" applyAlignment="1" quotePrefix="1">
      <alignment vertical="top" wrapText="1"/>
      <protection/>
    </xf>
    <xf numFmtId="0" fontId="11" fillId="0" borderId="30" xfId="61" applyFont="1" applyBorder="1" applyAlignment="1">
      <alignment horizontal="center" vertical="top"/>
      <protection/>
    </xf>
    <xf numFmtId="0" fontId="26" fillId="0" borderId="30" xfId="61" applyFont="1" applyBorder="1" applyAlignment="1">
      <alignment horizontal="center" vertical="top"/>
      <protection/>
    </xf>
    <xf numFmtId="0" fontId="26" fillId="0" borderId="30" xfId="61" applyFont="1" applyBorder="1" applyAlignment="1">
      <alignment horizontal="right" vertical="top"/>
      <protection/>
    </xf>
    <xf numFmtId="0" fontId="33" fillId="0" borderId="30" xfId="61" applyFont="1" applyFill="1" applyBorder="1" applyAlignment="1">
      <alignment vertical="top" wrapText="1"/>
      <protection/>
    </xf>
    <xf numFmtId="0" fontId="33" fillId="0" borderId="30" xfId="61" applyFont="1" applyFill="1" applyBorder="1" applyAlignment="1">
      <alignment horizontal="left" vertical="top" wrapText="1"/>
      <protection/>
    </xf>
    <xf numFmtId="0" fontId="4" fillId="0" borderId="30" xfId="61" applyFont="1" applyBorder="1" applyAlignment="1">
      <alignment horizontal="center" vertical="top"/>
      <protection/>
    </xf>
    <xf numFmtId="0" fontId="4" fillId="0" borderId="30" xfId="61" applyFont="1" applyBorder="1" applyAlignment="1">
      <alignment horizontal="right" vertical="top"/>
      <protection/>
    </xf>
    <xf numFmtId="0" fontId="11" fillId="0" borderId="30" xfId="61" applyFont="1" applyFill="1" applyBorder="1" applyAlignment="1">
      <alignment vertical="top" wrapText="1"/>
      <protection/>
    </xf>
    <xf numFmtId="0" fontId="5" fillId="0" borderId="32" xfId="61" applyFont="1" applyBorder="1" applyAlignment="1">
      <alignment horizontal="center" vertical="top" wrapText="1"/>
      <protection/>
    </xf>
    <xf numFmtId="0" fontId="26" fillId="0" borderId="30" xfId="61" applyFont="1" applyBorder="1" applyAlignment="1">
      <alignment horizontal="left" vertical="top"/>
      <protection/>
    </xf>
    <xf numFmtId="0" fontId="11" fillId="0" borderId="28" xfId="60" applyFont="1" applyBorder="1" applyAlignment="1">
      <alignment horizontal="left" vertical="top"/>
      <protection/>
    </xf>
    <xf numFmtId="0" fontId="26" fillId="0" borderId="28" xfId="60" applyFont="1" applyBorder="1" applyAlignment="1" quotePrefix="1">
      <alignment horizontal="left"/>
      <protection/>
    </xf>
    <xf numFmtId="0" fontId="4" fillId="0" borderId="0" xfId="61" applyAlignment="1">
      <alignment/>
      <protection/>
    </xf>
    <xf numFmtId="206" fontId="11" fillId="0" borderId="28" xfId="61" applyNumberFormat="1" applyFont="1" applyBorder="1" applyAlignment="1">
      <alignment vertical="top" wrapText="1"/>
      <protection/>
    </xf>
    <xf numFmtId="206" fontId="11" fillId="0" borderId="30" xfId="46" applyNumberFormat="1" applyFont="1" applyBorder="1" applyAlignment="1">
      <alignment vertical="top" wrapText="1"/>
    </xf>
    <xf numFmtId="206" fontId="4" fillId="0" borderId="30" xfId="61" applyNumberFormat="1" applyFont="1" applyBorder="1" applyAlignment="1">
      <alignment vertical="top" wrapText="1"/>
      <protection/>
    </xf>
    <xf numFmtId="206" fontId="11" fillId="0" borderId="30" xfId="46" applyNumberFormat="1" applyFont="1" applyBorder="1" applyAlignment="1">
      <alignment vertical="top"/>
    </xf>
    <xf numFmtId="0" fontId="5" fillId="33" borderId="30" xfId="61" applyFont="1" applyFill="1" applyBorder="1" applyAlignment="1">
      <alignment vertical="center"/>
      <protection/>
    </xf>
    <xf numFmtId="205" fontId="5" fillId="33" borderId="30" xfId="61" applyNumberFormat="1" applyFont="1" applyFill="1" applyBorder="1" applyAlignment="1">
      <alignment vertical="center"/>
      <protection/>
    </xf>
    <xf numFmtId="206" fontId="5" fillId="0" borderId="33" xfId="46" applyNumberFormat="1" applyFont="1" applyBorder="1" applyAlignment="1">
      <alignment vertical="top"/>
    </xf>
    <xf numFmtId="206" fontId="11" fillId="0" borderId="0" xfId="45" applyNumberFormat="1" applyFont="1" applyBorder="1" applyAlignment="1">
      <alignment/>
    </xf>
    <xf numFmtId="206" fontId="4" fillId="0" borderId="0" xfId="61" applyNumberFormat="1" applyAlignment="1">
      <alignment/>
      <protection/>
    </xf>
    <xf numFmtId="206" fontId="5" fillId="0" borderId="0" xfId="42" applyNumberFormat="1" applyFont="1" applyBorder="1" applyAlignment="1">
      <alignment/>
    </xf>
    <xf numFmtId="206" fontId="7" fillId="0" borderId="0" xfId="46" applyNumberFormat="1" applyFont="1" applyBorder="1" applyAlignment="1">
      <alignment/>
    </xf>
    <xf numFmtId="206" fontId="0" fillId="0" borderId="0" xfId="0" applyNumberFormat="1" applyAlignment="1">
      <alignment/>
    </xf>
    <xf numFmtId="0" fontId="0" fillId="0" borderId="0" xfId="0" applyAlignment="1">
      <alignment/>
    </xf>
    <xf numFmtId="0" fontId="12" fillId="0" borderId="0" xfId="61" applyFont="1" applyAlignment="1">
      <alignment/>
      <protection/>
    </xf>
    <xf numFmtId="0" fontId="4" fillId="0" borderId="28" xfId="61" applyFont="1" applyBorder="1" applyAlignment="1">
      <alignment vertical="top"/>
      <protection/>
    </xf>
    <xf numFmtId="0" fontId="26" fillId="0" borderId="30" xfId="61" applyFont="1" applyBorder="1" applyAlignment="1">
      <alignment vertical="top"/>
      <protection/>
    </xf>
    <xf numFmtId="0" fontId="26" fillId="0" borderId="30" xfId="61" applyFont="1" applyBorder="1" applyAlignment="1">
      <alignment/>
      <protection/>
    </xf>
    <xf numFmtId="0" fontId="7" fillId="0" borderId="0" xfId="61" applyFont="1" applyAlignment="1">
      <alignment/>
      <protection/>
    </xf>
    <xf numFmtId="0" fontId="10" fillId="0" borderId="0" xfId="61" applyFont="1" applyAlignment="1">
      <alignment/>
      <protection/>
    </xf>
    <xf numFmtId="0" fontId="5" fillId="0" borderId="0" xfId="61" applyFont="1" applyBorder="1" applyAlignment="1">
      <alignment/>
      <protection/>
    </xf>
    <xf numFmtId="0" fontId="6" fillId="0" borderId="0" xfId="61" applyFont="1" applyAlignment="1">
      <alignment/>
      <protection/>
    </xf>
    <xf numFmtId="206" fontId="4" fillId="0" borderId="28" xfId="61" applyNumberFormat="1" applyFont="1" applyBorder="1" applyAlignment="1">
      <alignment horizontal="right" vertical="top"/>
      <protection/>
    </xf>
    <xf numFmtId="206" fontId="4" fillId="0" borderId="30" xfId="61" applyNumberFormat="1" applyFont="1" applyBorder="1" applyAlignment="1">
      <alignment horizontal="right" vertical="top"/>
      <protection/>
    </xf>
    <xf numFmtId="208" fontId="26" fillId="0" borderId="28" xfId="42" applyNumberFormat="1" applyFont="1" applyBorder="1" applyAlignment="1">
      <alignment vertical="top"/>
    </xf>
    <xf numFmtId="209" fontId="5" fillId="33" borderId="29" xfId="42" applyNumberFormat="1" applyFont="1" applyFill="1" applyBorder="1" applyAlignment="1">
      <alignment horizontal="right"/>
    </xf>
    <xf numFmtId="0" fontId="5" fillId="33" borderId="27" xfId="60" applyFont="1" applyFill="1" applyBorder="1">
      <alignment/>
      <protection/>
    </xf>
    <xf numFmtId="0" fontId="4" fillId="33" borderId="27" xfId="60" applyFont="1" applyFill="1" applyBorder="1" applyAlignment="1">
      <alignment horizontal="center" vertical="top"/>
      <protection/>
    </xf>
    <xf numFmtId="0" fontId="5" fillId="33" borderId="27" xfId="60" applyFont="1" applyFill="1" applyBorder="1" applyAlignment="1">
      <alignment horizontal="right"/>
      <protection/>
    </xf>
    <xf numFmtId="209" fontId="5" fillId="33" borderId="27" xfId="42" applyNumberFormat="1" applyFont="1" applyFill="1" applyBorder="1" applyAlignment="1">
      <alignment horizontal="right"/>
    </xf>
    <xf numFmtId="208" fontId="5" fillId="33" borderId="27" xfId="42" applyNumberFormat="1" applyFont="1" applyFill="1" applyBorder="1" applyAlignment="1">
      <alignment horizontal="right"/>
    </xf>
    <xf numFmtId="209" fontId="5" fillId="33" borderId="33" xfId="42" applyNumberFormat="1" applyFont="1" applyFill="1" applyBorder="1" applyAlignment="1">
      <alignment horizontal="right" vertical="center"/>
    </xf>
    <xf numFmtId="208" fontId="5" fillId="33" borderId="33" xfId="42" applyNumberFormat="1" applyFont="1" applyFill="1" applyBorder="1" applyAlignment="1">
      <alignment horizontal="right" vertical="center"/>
    </xf>
    <xf numFmtId="209" fontId="26" fillId="34" borderId="28" xfId="42" applyNumberFormat="1" applyFont="1" applyFill="1" applyBorder="1" applyAlignment="1">
      <alignment vertical="top"/>
    </xf>
    <xf numFmtId="204" fontId="11" fillId="0" borderId="15" xfId="45" applyNumberFormat="1" applyFont="1" applyBorder="1" applyAlignment="1">
      <alignment horizontal="right" vertical="top"/>
    </xf>
    <xf numFmtId="0" fontId="9" fillId="0" borderId="34" xfId="61" applyFont="1" applyBorder="1" applyAlignment="1">
      <alignment horizontal="left" vertical="center" wrapText="1"/>
      <protection/>
    </xf>
    <xf numFmtId="0" fontId="11" fillId="0" borderId="34" xfId="61" applyFont="1" applyBorder="1" applyAlignment="1">
      <alignment horizontal="left" vertical="center" wrapText="1"/>
      <protection/>
    </xf>
    <xf numFmtId="0" fontId="9" fillId="0" borderId="34" xfId="61" applyFont="1" applyBorder="1" applyAlignment="1">
      <alignment horizontal="center" vertical="center"/>
      <protection/>
    </xf>
    <xf numFmtId="0" fontId="9" fillId="0" borderId="34" xfId="61" applyFont="1" applyFill="1" applyBorder="1" applyAlignment="1">
      <alignment horizontal="center" vertical="center"/>
      <protection/>
    </xf>
    <xf numFmtId="0" fontId="4" fillId="0" borderId="35" xfId="61" applyBorder="1" applyAlignment="1">
      <alignment horizontal="center"/>
      <protection/>
    </xf>
    <xf numFmtId="0" fontId="26" fillId="0" borderId="35" xfId="61" applyFont="1" applyBorder="1" applyAlignment="1">
      <alignment horizontal="center"/>
      <protection/>
    </xf>
    <xf numFmtId="0" fontId="4" fillId="0" borderId="35" xfId="61" applyBorder="1" applyAlignment="1">
      <alignment horizontal="center" vertical="center"/>
      <protection/>
    </xf>
    <xf numFmtId="0" fontId="4" fillId="0" borderId="35" xfId="61" applyFill="1" applyBorder="1">
      <alignment/>
      <protection/>
    </xf>
    <xf numFmtId="0" fontId="5" fillId="0" borderId="34" xfId="61" applyFont="1" applyBorder="1" applyAlignment="1">
      <alignment horizontal="left" vertical="top" wrapText="1"/>
      <protection/>
    </xf>
    <xf numFmtId="0" fontId="4" fillId="0" borderId="34" xfId="61" applyFont="1" applyBorder="1" applyAlignment="1">
      <alignment horizontal="left" vertical="top" wrapText="1"/>
      <protection/>
    </xf>
    <xf numFmtId="0" fontId="11" fillId="0" borderId="34" xfId="61" applyFont="1" applyBorder="1" applyAlignment="1">
      <alignment horizontal="center" vertical="top" wrapText="1"/>
      <protection/>
    </xf>
    <xf numFmtId="0" fontId="33" fillId="0" borderId="34" xfId="61" applyFont="1" applyFill="1" applyBorder="1" applyAlignment="1">
      <alignment horizontal="left" vertical="top" wrapText="1"/>
      <protection/>
    </xf>
    <xf numFmtId="206" fontId="11" fillId="0" borderId="34" xfId="61" applyNumberFormat="1" applyFont="1" applyBorder="1" applyAlignment="1">
      <alignment horizontal="right" vertical="top" wrapText="1"/>
      <protection/>
    </xf>
    <xf numFmtId="0" fontId="4" fillId="0" borderId="34" xfId="61" applyFont="1" applyBorder="1" applyAlignment="1">
      <alignment horizontal="center" vertical="top"/>
      <protection/>
    </xf>
    <xf numFmtId="0" fontId="4" fillId="0" borderId="34" xfId="0" applyFont="1" applyBorder="1" applyAlignment="1">
      <alignment vertical="top"/>
    </xf>
    <xf numFmtId="0" fontId="4" fillId="0" borderId="34" xfId="61" applyFont="1" applyBorder="1" applyAlignment="1">
      <alignment vertical="top"/>
      <protection/>
    </xf>
    <xf numFmtId="206" fontId="4" fillId="0" borderId="34" xfId="61" applyNumberFormat="1" applyFont="1" applyBorder="1" applyAlignment="1">
      <alignment vertical="top"/>
      <protection/>
    </xf>
    <xf numFmtId="0" fontId="11" fillId="0" borderId="28" xfId="61" applyFont="1" applyBorder="1" applyAlignment="1">
      <alignment horizontal="left" vertical="top" wrapText="1"/>
      <protection/>
    </xf>
    <xf numFmtId="0" fontId="26" fillId="0" borderId="28" xfId="61" applyFont="1" applyBorder="1" applyAlignment="1">
      <alignment horizontal="left" vertical="top" wrapText="1"/>
      <protection/>
    </xf>
    <xf numFmtId="0" fontId="33" fillId="0" borderId="28" xfId="61" applyFont="1" applyFill="1" applyBorder="1" applyAlignment="1">
      <alignment vertical="top" wrapText="1"/>
      <protection/>
    </xf>
    <xf numFmtId="0" fontId="11" fillId="0" borderId="28" xfId="61" applyFont="1" applyBorder="1" applyAlignment="1">
      <alignment horizontal="center" vertical="top"/>
      <protection/>
    </xf>
    <xf numFmtId="206" fontId="11" fillId="0" borderId="28" xfId="46" applyNumberFormat="1" applyFont="1" applyBorder="1" applyAlignment="1">
      <alignment horizontal="right" vertical="top" wrapText="1"/>
    </xf>
    <xf numFmtId="0" fontId="26" fillId="0" borderId="28" xfId="61" applyFont="1" applyBorder="1" applyAlignment="1">
      <alignment horizontal="center" vertical="top"/>
      <protection/>
    </xf>
    <xf numFmtId="0" fontId="26" fillId="0" borderId="28" xfId="61" applyFont="1" applyBorder="1" applyAlignment="1">
      <alignment vertical="top"/>
      <protection/>
    </xf>
    <xf numFmtId="206" fontId="4" fillId="0" borderId="28" xfId="61" applyNumberFormat="1" applyFont="1" applyBorder="1" applyAlignment="1">
      <alignment vertical="top"/>
      <protection/>
    </xf>
    <xf numFmtId="206" fontId="5" fillId="33" borderId="30" xfId="46" applyNumberFormat="1" applyFont="1" applyFill="1" applyBorder="1" applyAlignment="1">
      <alignment horizontal="right" vertical="center" wrapText="1"/>
    </xf>
    <xf numFmtId="0" fontId="5" fillId="0" borderId="28" xfId="61" applyFont="1" applyBorder="1" applyAlignment="1">
      <alignment horizontal="left" vertical="top" wrapText="1"/>
      <protection/>
    </xf>
    <xf numFmtId="206" fontId="4" fillId="0" borderId="28" xfId="61" applyNumberFormat="1" applyFont="1" applyBorder="1" applyAlignment="1">
      <alignment horizontal="right" vertical="top" wrapText="1"/>
      <protection/>
    </xf>
    <xf numFmtId="0" fontId="4" fillId="0" borderId="28" xfId="0" applyFont="1" applyBorder="1" applyAlignment="1">
      <alignment vertical="top"/>
    </xf>
    <xf numFmtId="0" fontId="26" fillId="0" borderId="28" xfId="61" applyFont="1" applyBorder="1">
      <alignment/>
      <protection/>
    </xf>
    <xf numFmtId="0" fontId="11" fillId="0" borderId="28" xfId="61" applyFont="1" applyBorder="1" applyAlignment="1">
      <alignment horizontal="left" vertical="center" wrapText="1"/>
      <protection/>
    </xf>
    <xf numFmtId="206" fontId="11" fillId="0" borderId="28" xfId="61" applyNumberFormat="1" applyFont="1" applyBorder="1" applyAlignment="1">
      <alignment horizontal="right" vertical="top" wrapText="1"/>
      <protection/>
    </xf>
    <xf numFmtId="0" fontId="26" fillId="0" borderId="28" xfId="61" applyFont="1" applyBorder="1" applyAlignment="1">
      <alignment horizontal="center"/>
      <protection/>
    </xf>
    <xf numFmtId="0" fontId="5" fillId="0" borderId="27" xfId="61" applyFont="1" applyBorder="1" applyAlignment="1">
      <alignment horizontal="left" vertical="top"/>
      <protection/>
    </xf>
    <xf numFmtId="0" fontId="26" fillId="0" borderId="28" xfId="61" applyFont="1" applyBorder="1" applyAlignment="1">
      <alignment horizontal="left" vertical="top"/>
      <protection/>
    </xf>
    <xf numFmtId="49" fontId="11" fillId="0" borderId="28" xfId="61" applyNumberFormat="1" applyFont="1" applyBorder="1" applyAlignment="1">
      <alignment horizontal="center" vertical="top" wrapText="1"/>
      <protection/>
    </xf>
    <xf numFmtId="206" fontId="11" fillId="0" borderId="28" xfId="46" applyNumberFormat="1" applyFont="1" applyBorder="1" applyAlignment="1">
      <alignment vertical="top"/>
    </xf>
    <xf numFmtId="0" fontId="11" fillId="0" borderId="28" xfId="61" applyFont="1" applyBorder="1" applyAlignment="1">
      <alignment vertical="top"/>
      <protection/>
    </xf>
    <xf numFmtId="206" fontId="11" fillId="0" borderId="28" xfId="61" applyNumberFormat="1" applyFont="1" applyBorder="1" applyAlignment="1">
      <alignment vertical="top"/>
      <protection/>
    </xf>
    <xf numFmtId="0" fontId="11" fillId="0" borderId="28" xfId="61" applyFont="1" applyBorder="1" applyAlignment="1">
      <alignment horizontal="left" vertical="top"/>
      <protection/>
    </xf>
    <xf numFmtId="0" fontId="33" fillId="0" borderId="28" xfId="61" applyFont="1" applyFill="1" applyBorder="1" applyAlignment="1" quotePrefix="1">
      <alignment vertical="top" wrapText="1"/>
      <protection/>
    </xf>
    <xf numFmtId="205" fontId="11" fillId="0" borderId="28" xfId="61" applyNumberFormat="1" applyFont="1" applyBorder="1" applyAlignment="1">
      <alignment vertical="top"/>
      <protection/>
    </xf>
    <xf numFmtId="0" fontId="4" fillId="0" borderId="28" xfId="61" applyBorder="1" applyAlignment="1">
      <alignment horizontal="center"/>
      <protection/>
    </xf>
    <xf numFmtId="0" fontId="26" fillId="0" borderId="28" xfId="61" applyFont="1" applyBorder="1" applyAlignment="1">
      <alignment horizontal="center"/>
      <protection/>
    </xf>
    <xf numFmtId="0" fontId="4" fillId="0" borderId="28" xfId="61" applyBorder="1" applyAlignment="1">
      <alignment horizontal="center" vertical="center"/>
      <protection/>
    </xf>
    <xf numFmtId="0" fontId="4" fillId="0" borderId="28" xfId="61" applyFont="1" applyFill="1" applyBorder="1" quotePrefix="1">
      <alignment/>
      <protection/>
    </xf>
    <xf numFmtId="0" fontId="4" fillId="0" borderId="28" xfId="61" applyBorder="1">
      <alignment/>
      <protection/>
    </xf>
    <xf numFmtId="0" fontId="0" fillId="0" borderId="28" xfId="0" applyBorder="1" applyAlignment="1">
      <alignment horizontal="center"/>
    </xf>
    <xf numFmtId="0" fontId="0" fillId="0" borderId="28" xfId="0" applyBorder="1" applyAlignment="1">
      <alignment/>
    </xf>
    <xf numFmtId="0" fontId="5" fillId="0" borderId="28" xfId="61" applyFont="1" applyBorder="1" applyAlignment="1">
      <alignment horizontal="left" vertical="top"/>
      <protection/>
    </xf>
    <xf numFmtId="0" fontId="33" fillId="0" borderId="28" xfId="61" applyFont="1" applyBorder="1" applyAlignment="1">
      <alignment horizontal="center" vertical="top" wrapText="1"/>
      <protection/>
    </xf>
    <xf numFmtId="205" fontId="5" fillId="33" borderId="30" xfId="61" applyNumberFormat="1" applyFont="1" applyFill="1" applyBorder="1" applyAlignment="1">
      <alignment horizontal="center" vertical="center"/>
      <protection/>
    </xf>
    <xf numFmtId="0" fontId="33" fillId="0" borderId="28" xfId="61" applyFont="1" applyBorder="1" applyAlignment="1">
      <alignment horizontal="center" vertical="top"/>
      <protection/>
    </xf>
    <xf numFmtId="0" fontId="26" fillId="34" borderId="28" xfId="61" applyFont="1" applyFill="1" applyBorder="1" applyAlignment="1">
      <alignment vertical="top"/>
      <protection/>
    </xf>
    <xf numFmtId="0" fontId="11" fillId="0" borderId="28" xfId="61" applyFont="1" applyFill="1" applyBorder="1" applyAlignment="1">
      <alignment horizontal="left" vertical="top" wrapText="1"/>
      <protection/>
    </xf>
    <xf numFmtId="0" fontId="11" fillId="0" borderId="28" xfId="61" applyFont="1" applyFill="1" applyBorder="1" applyAlignment="1">
      <alignment vertical="top" wrapText="1"/>
      <protection/>
    </xf>
    <xf numFmtId="206" fontId="11" fillId="0" borderId="28" xfId="46" applyNumberFormat="1" applyFont="1" applyBorder="1" applyAlignment="1">
      <alignment vertical="top" wrapText="1"/>
    </xf>
    <xf numFmtId="0" fontId="26" fillId="0" borderId="28" xfId="61" applyFont="1" applyBorder="1" applyAlignment="1">
      <alignment horizontal="center" vertical="top" wrapText="1"/>
      <protection/>
    </xf>
    <xf numFmtId="0" fontId="26" fillId="0" borderId="28" xfId="61" applyFont="1" applyBorder="1" applyAlignment="1">
      <alignment vertical="top" wrapText="1"/>
      <protection/>
    </xf>
    <xf numFmtId="0" fontId="5" fillId="0" borderId="27" xfId="61" applyFont="1" applyBorder="1" applyAlignment="1">
      <alignment horizontal="left" vertical="top" wrapText="1"/>
      <protection/>
    </xf>
    <xf numFmtId="0" fontId="26" fillId="0" borderId="27" xfId="61" applyFont="1" applyBorder="1" applyAlignment="1">
      <alignment horizontal="left" vertical="top" wrapText="1"/>
      <protection/>
    </xf>
    <xf numFmtId="0" fontId="11" fillId="0" borderId="27" xfId="61" applyFont="1" applyBorder="1" applyAlignment="1">
      <alignment horizontal="center" vertical="top" wrapText="1"/>
      <protection/>
    </xf>
    <xf numFmtId="0" fontId="11" fillId="0" borderId="27" xfId="61" applyFont="1" applyFill="1" applyBorder="1" applyAlignment="1">
      <alignment horizontal="left" vertical="top" wrapText="1"/>
      <protection/>
    </xf>
    <xf numFmtId="206" fontId="11" fillId="0" borderId="27" xfId="46" applyNumberFormat="1" applyFont="1" applyBorder="1" applyAlignment="1">
      <alignment vertical="top" wrapText="1"/>
    </xf>
    <xf numFmtId="0" fontId="26" fillId="0" borderId="27" xfId="0" applyFont="1" applyBorder="1" applyAlignment="1">
      <alignment vertical="top" wrapText="1"/>
    </xf>
    <xf numFmtId="0" fontId="11" fillId="0" borderId="27" xfId="61" applyFont="1" applyBorder="1" applyAlignment="1">
      <alignment vertical="top" wrapText="1"/>
      <protection/>
    </xf>
    <xf numFmtId="0" fontId="5" fillId="0" borderId="33" xfId="61" applyFont="1" applyBorder="1" applyAlignment="1">
      <alignment horizontal="left" vertical="top"/>
      <protection/>
    </xf>
    <xf numFmtId="192" fontId="11" fillId="0" borderId="28" xfId="61" applyNumberFormat="1" applyFont="1" applyBorder="1" applyAlignment="1">
      <alignment vertical="top"/>
      <protection/>
    </xf>
    <xf numFmtId="3" fontId="5" fillId="33" borderId="30" xfId="46" applyNumberFormat="1" applyFont="1" applyFill="1" applyBorder="1" applyAlignment="1">
      <alignment horizontal="right" vertical="center" wrapText="1"/>
    </xf>
    <xf numFmtId="1" fontId="5" fillId="33" borderId="30" xfId="61" applyNumberFormat="1" applyFont="1" applyFill="1" applyBorder="1" applyAlignment="1">
      <alignment horizontal="right" vertical="center"/>
      <protection/>
    </xf>
    <xf numFmtId="194" fontId="5" fillId="33" borderId="30" xfId="61" applyNumberFormat="1" applyFont="1" applyFill="1" applyBorder="1" applyAlignment="1">
      <alignment horizontal="center" vertical="center"/>
      <protection/>
    </xf>
    <xf numFmtId="1" fontId="5" fillId="33" borderId="30" xfId="61" applyNumberFormat="1" applyFont="1" applyFill="1" applyBorder="1" applyAlignment="1">
      <alignment vertical="center"/>
      <protection/>
    </xf>
    <xf numFmtId="0" fontId="26" fillId="0" borderId="28" xfId="0" applyFont="1" applyBorder="1" applyAlignment="1" quotePrefix="1">
      <alignment horizontal="left"/>
    </xf>
    <xf numFmtId="194" fontId="5" fillId="33" borderId="27" xfId="61" applyNumberFormat="1" applyFont="1" applyFill="1" applyBorder="1" applyAlignment="1">
      <alignment horizontal="center" vertical="center"/>
      <protection/>
    </xf>
    <xf numFmtId="206" fontId="5" fillId="33" borderId="27" xfId="46" applyNumberFormat="1" applyFont="1" applyFill="1" applyBorder="1" applyAlignment="1">
      <alignment horizontal="right" vertical="center" wrapText="1"/>
    </xf>
    <xf numFmtId="0" fontId="5" fillId="33" borderId="27" xfId="61" applyFont="1" applyFill="1" applyBorder="1" applyAlignment="1">
      <alignment horizontal="right" vertical="center"/>
      <protection/>
    </xf>
    <xf numFmtId="194" fontId="5" fillId="33" borderId="21" xfId="61" applyNumberFormat="1" applyFont="1" applyFill="1" applyBorder="1" applyAlignment="1">
      <alignment horizontal="center" vertical="center"/>
      <protection/>
    </xf>
    <xf numFmtId="206" fontId="5" fillId="0" borderId="24" xfId="46" applyNumberFormat="1" applyFont="1" applyBorder="1" applyAlignment="1">
      <alignment vertical="top"/>
    </xf>
    <xf numFmtId="0" fontId="4" fillId="0" borderId="0" xfId="60" applyFont="1" applyBorder="1" applyAlignment="1">
      <alignment horizontal="center"/>
      <protection/>
    </xf>
    <xf numFmtId="203" fontId="4" fillId="0" borderId="0" xfId="60" applyNumberFormat="1" applyFont="1" applyBorder="1" applyAlignment="1">
      <alignment horizontal="center"/>
      <protection/>
    </xf>
    <xf numFmtId="205" fontId="4" fillId="0" borderId="0" xfId="60" applyNumberFormat="1" applyFont="1" applyBorder="1" applyAlignment="1">
      <alignment horizontal="center"/>
      <protection/>
    </xf>
    <xf numFmtId="194" fontId="4" fillId="0" borderId="0" xfId="60" applyNumberFormat="1" applyFont="1" applyBorder="1" applyAlignment="1">
      <alignment horizontal="center"/>
      <protection/>
    </xf>
    <xf numFmtId="0" fontId="4" fillId="0" borderId="10" xfId="60" applyFont="1" applyBorder="1" applyAlignment="1">
      <alignment horizontal="center"/>
      <protection/>
    </xf>
    <xf numFmtId="203" fontId="4" fillId="0" borderId="10" xfId="45" applyNumberFormat="1" applyFont="1" applyBorder="1" applyAlignment="1">
      <alignment/>
    </xf>
    <xf numFmtId="205" fontId="4" fillId="0" borderId="10" xfId="45" applyNumberFormat="1" applyFont="1" applyBorder="1" applyAlignment="1">
      <alignment/>
    </xf>
    <xf numFmtId="204" fontId="4" fillId="0" borderId="10" xfId="45" applyNumberFormat="1" applyFont="1" applyBorder="1" applyAlignment="1">
      <alignment horizontal="center"/>
    </xf>
    <xf numFmtId="205" fontId="4" fillId="0" borderId="10" xfId="45" applyNumberFormat="1" applyFont="1" applyBorder="1" applyAlignment="1">
      <alignment horizontal="center"/>
    </xf>
    <xf numFmtId="203" fontId="4" fillId="0" borderId="10" xfId="45" applyNumberFormat="1" applyFont="1" applyBorder="1" applyAlignment="1">
      <alignment horizontal="center"/>
    </xf>
    <xf numFmtId="204" fontId="4" fillId="0" borderId="10" xfId="45" applyNumberFormat="1" applyFont="1" applyBorder="1" applyAlignment="1">
      <alignment/>
    </xf>
    <xf numFmtId="203" fontId="4" fillId="0" borderId="10" xfId="60" applyNumberFormat="1" applyFont="1" applyBorder="1" applyAlignment="1">
      <alignment horizontal="center"/>
      <protection/>
    </xf>
    <xf numFmtId="205" fontId="4" fillId="0" borderId="10" xfId="60" applyNumberFormat="1" applyFont="1" applyBorder="1" applyAlignment="1">
      <alignment horizontal="center"/>
      <protection/>
    </xf>
    <xf numFmtId="209" fontId="4" fillId="0" borderId="0" xfId="60" applyNumberFormat="1" applyFont="1" applyBorder="1" applyAlignment="1">
      <alignment horizontal="center"/>
      <protection/>
    </xf>
    <xf numFmtId="203" fontId="4" fillId="0" borderId="10" xfId="45" applyNumberFormat="1" applyFont="1" applyBorder="1" applyAlignment="1">
      <alignment horizontal="right"/>
    </xf>
    <xf numFmtId="205" fontId="4" fillId="0" borderId="10" xfId="45" applyNumberFormat="1" applyFont="1" applyBorder="1" applyAlignment="1">
      <alignment horizontal="right"/>
    </xf>
    <xf numFmtId="204" fontId="4" fillId="0" borderId="10" xfId="45" applyNumberFormat="1" applyFont="1" applyBorder="1" applyAlignment="1">
      <alignment horizontal="right"/>
    </xf>
    <xf numFmtId="0" fontId="4" fillId="0" borderId="11" xfId="60" applyFont="1" applyBorder="1" applyAlignment="1">
      <alignment horizontal="center"/>
      <protection/>
    </xf>
    <xf numFmtId="203" fontId="4" fillId="0" borderId="11" xfId="45" applyNumberFormat="1" applyFont="1" applyBorder="1" applyAlignment="1">
      <alignment horizontal="right"/>
    </xf>
    <xf numFmtId="205" fontId="4" fillId="0" borderId="11" xfId="45" applyNumberFormat="1" applyFont="1" applyBorder="1" applyAlignment="1">
      <alignment horizontal="right"/>
    </xf>
    <xf numFmtId="204" fontId="4" fillId="0" borderId="11" xfId="45" applyNumberFormat="1" applyFont="1" applyBorder="1" applyAlignment="1">
      <alignment horizontal="right"/>
    </xf>
    <xf numFmtId="0" fontId="4" fillId="0" borderId="0" xfId="60" applyFont="1" applyAlignment="1">
      <alignment horizontal="center"/>
      <protection/>
    </xf>
    <xf numFmtId="203" fontId="4" fillId="0" borderId="0" xfId="45" applyNumberFormat="1" applyFont="1" applyAlignment="1">
      <alignment/>
    </xf>
    <xf numFmtId="205" fontId="4" fillId="0" borderId="0" xfId="45" applyNumberFormat="1" applyFont="1" applyAlignment="1">
      <alignment/>
    </xf>
    <xf numFmtId="204" fontId="4" fillId="0" borderId="0" xfId="45" applyNumberFormat="1" applyFont="1" applyAlignment="1">
      <alignment/>
    </xf>
    <xf numFmtId="0" fontId="4" fillId="0" borderId="0" xfId="60" applyFont="1">
      <alignment/>
      <protection/>
    </xf>
    <xf numFmtId="205" fontId="4" fillId="0" borderId="0" xfId="60" applyNumberFormat="1" applyFont="1">
      <alignment/>
      <protection/>
    </xf>
    <xf numFmtId="204" fontId="4" fillId="0" borderId="0" xfId="45" applyNumberFormat="1" applyFont="1" applyAlignment="1">
      <alignment horizontal="center"/>
    </xf>
    <xf numFmtId="203" fontId="4" fillId="0" borderId="0" xfId="60" applyNumberFormat="1" applyFont="1">
      <alignment/>
      <protection/>
    </xf>
    <xf numFmtId="208" fontId="4" fillId="0" borderId="0" xfId="60" applyNumberFormat="1" applyFont="1" applyBorder="1" applyAlignment="1">
      <alignment horizontal="center"/>
      <protection/>
    </xf>
    <xf numFmtId="209" fontId="4" fillId="0" borderId="10" xfId="45" applyNumberFormat="1" applyFont="1" applyBorder="1" applyAlignment="1">
      <alignment horizontal="center"/>
    </xf>
    <xf numFmtId="203" fontId="11" fillId="0" borderId="0" xfId="45" applyNumberFormat="1" applyFont="1" applyBorder="1" applyAlignment="1">
      <alignment horizontal="center"/>
    </xf>
    <xf numFmtId="203" fontId="11" fillId="0" borderId="11" xfId="45" applyNumberFormat="1" applyFont="1" applyBorder="1" applyAlignment="1">
      <alignment horizontal="center"/>
    </xf>
    <xf numFmtId="0" fontId="5" fillId="0" borderId="16" xfId="61" applyFont="1" applyBorder="1" applyAlignment="1">
      <alignment vertical="center"/>
      <protection/>
    </xf>
    <xf numFmtId="204" fontId="11" fillId="0" borderId="16" xfId="46" applyNumberFormat="1" applyFont="1" applyBorder="1" applyAlignment="1">
      <alignment horizontal="right" vertical="center"/>
    </xf>
    <xf numFmtId="205" fontId="11" fillId="0" borderId="16" xfId="46" applyNumberFormat="1" applyFont="1" applyBorder="1" applyAlignment="1">
      <alignment horizontal="right" vertical="center"/>
    </xf>
    <xf numFmtId="209" fontId="4" fillId="0" borderId="28" xfId="42" applyNumberFormat="1" applyFont="1" applyBorder="1" applyAlignment="1">
      <alignment horizontal="right"/>
    </xf>
    <xf numFmtId="208" fontId="4" fillId="0" borderId="28" xfId="42" applyNumberFormat="1" applyFont="1" applyBorder="1" applyAlignment="1">
      <alignment horizontal="right"/>
    </xf>
    <xf numFmtId="209" fontId="4" fillId="0" borderId="28" xfId="42" applyNumberFormat="1" applyFont="1" applyBorder="1" applyAlignment="1">
      <alignment/>
    </xf>
    <xf numFmtId="208" fontId="5" fillId="0" borderId="28" xfId="42" applyNumberFormat="1" applyFont="1" applyFill="1" applyBorder="1" applyAlignment="1">
      <alignment horizontal="right"/>
    </xf>
    <xf numFmtId="204" fontId="26" fillId="0" borderId="0" xfId="45" applyNumberFormat="1" applyFont="1" applyAlignment="1">
      <alignment horizontal="left"/>
    </xf>
    <xf numFmtId="208" fontId="5" fillId="33" borderId="30" xfId="42" applyNumberFormat="1" applyFont="1" applyFill="1" applyBorder="1" applyAlignment="1">
      <alignment vertical="center"/>
    </xf>
    <xf numFmtId="1" fontId="7" fillId="0" borderId="20" xfId="68" applyNumberFormat="1" applyFont="1" applyBorder="1" applyAlignment="1">
      <alignment horizontal="right"/>
      <protection/>
    </xf>
    <xf numFmtId="1" fontId="7" fillId="0" borderId="11" xfId="68" applyNumberFormat="1" applyFont="1" applyBorder="1" applyAlignment="1">
      <alignment horizontal="right"/>
      <protection/>
    </xf>
    <xf numFmtId="205" fontId="7" fillId="35" borderId="36" xfId="68" applyNumberFormat="1" applyFont="1" applyFill="1" applyBorder="1" applyAlignment="1">
      <alignment horizontal="right"/>
      <protection/>
    </xf>
    <xf numFmtId="205" fontId="7" fillId="35" borderId="10" xfId="68" applyNumberFormat="1" applyFont="1" applyFill="1" applyBorder="1" applyAlignment="1">
      <alignment horizontal="right"/>
      <protection/>
    </xf>
    <xf numFmtId="205" fontId="7" fillId="35" borderId="37" xfId="68" applyNumberFormat="1" applyFont="1" applyFill="1" applyBorder="1" applyAlignment="1">
      <alignment horizontal="right"/>
      <protection/>
    </xf>
    <xf numFmtId="204" fontId="0" fillId="0" borderId="0" xfId="0" applyNumberFormat="1" applyFont="1" applyBorder="1" applyAlignment="1">
      <alignment/>
    </xf>
    <xf numFmtId="204" fontId="0" fillId="0" borderId="0" xfId="0" applyNumberFormat="1" applyFont="1" applyFill="1" applyBorder="1" applyAlignment="1">
      <alignment/>
    </xf>
    <xf numFmtId="0" fontId="0" fillId="0" borderId="0" xfId="0" applyFont="1" applyFill="1" applyBorder="1" applyAlignment="1">
      <alignment/>
    </xf>
    <xf numFmtId="0" fontId="13" fillId="0" borderId="0" xfId="60" applyFont="1" applyFill="1" applyBorder="1">
      <alignment/>
      <protection/>
    </xf>
    <xf numFmtId="1" fontId="7" fillId="35" borderId="38" xfId="68" applyNumberFormat="1" applyFont="1" applyFill="1" applyBorder="1" applyAlignment="1">
      <alignment horizontal="right"/>
      <protection/>
    </xf>
    <xf numFmtId="205" fontId="13" fillId="0" borderId="20" xfId="45" applyNumberFormat="1" applyFont="1" applyBorder="1" applyAlignment="1">
      <alignment/>
    </xf>
    <xf numFmtId="205" fontId="13" fillId="0" borderId="11" xfId="45" applyNumberFormat="1" applyFont="1" applyBorder="1" applyAlignment="1">
      <alignment/>
    </xf>
    <xf numFmtId="0" fontId="13" fillId="0" borderId="11" xfId="60" applyFont="1" applyBorder="1" applyAlignment="1">
      <alignment horizontal="center"/>
      <protection/>
    </xf>
    <xf numFmtId="205" fontId="13" fillId="0" borderId="23" xfId="45" applyNumberFormat="1" applyFont="1" applyBorder="1" applyAlignment="1">
      <alignment/>
    </xf>
    <xf numFmtId="0" fontId="13" fillId="0" borderId="20" xfId="60" applyFont="1" applyBorder="1" applyAlignment="1">
      <alignment horizontal="left"/>
      <protection/>
    </xf>
    <xf numFmtId="203" fontId="7" fillId="35" borderId="38" xfId="68" applyNumberFormat="1" applyFont="1" applyFill="1" applyBorder="1" applyAlignment="1">
      <alignment horizontal="right"/>
      <protection/>
    </xf>
    <xf numFmtId="203" fontId="7" fillId="35" borderId="16" xfId="68" applyNumberFormat="1" applyFont="1" applyFill="1" applyBorder="1" applyAlignment="1">
      <alignment horizontal="right"/>
      <protection/>
    </xf>
    <xf numFmtId="203" fontId="7" fillId="35" borderId="31" xfId="68" applyNumberFormat="1" applyFont="1" applyFill="1" applyBorder="1" applyAlignment="1">
      <alignment horizontal="right"/>
      <protection/>
    </xf>
    <xf numFmtId="205" fontId="7" fillId="0" borderId="0" xfId="60" applyNumberFormat="1" applyFont="1" applyAlignment="1">
      <alignment/>
      <protection/>
    </xf>
    <xf numFmtId="205" fontId="12" fillId="0" borderId="0" xfId="45" applyNumberFormat="1" applyFont="1" applyBorder="1" applyAlignment="1">
      <alignment/>
    </xf>
    <xf numFmtId="205" fontId="5" fillId="0" borderId="0" xfId="45" applyNumberFormat="1" applyFont="1" applyBorder="1" applyAlignment="1">
      <alignment/>
    </xf>
    <xf numFmtId="205" fontId="5" fillId="0" borderId="11" xfId="45" applyNumberFormat="1" applyFont="1" applyBorder="1" applyAlignment="1">
      <alignment/>
    </xf>
    <xf numFmtId="205" fontId="5" fillId="0" borderId="10" xfId="45" applyNumberFormat="1" applyFont="1" applyBorder="1" applyAlignment="1">
      <alignment/>
    </xf>
    <xf numFmtId="208" fontId="5" fillId="33" borderId="15" xfId="42" applyNumberFormat="1" applyFont="1" applyFill="1" applyBorder="1" applyAlignment="1">
      <alignment/>
    </xf>
    <xf numFmtId="0" fontId="4" fillId="0" borderId="0" xfId="61" applyFont="1" applyAlignment="1">
      <alignment/>
      <protection/>
    </xf>
    <xf numFmtId="205" fontId="0" fillId="0" borderId="0" xfId="0" applyNumberFormat="1" applyFont="1" applyAlignment="1">
      <alignment/>
    </xf>
    <xf numFmtId="0" fontId="4" fillId="0" borderId="11" xfId="60" applyFont="1" applyBorder="1" applyAlignment="1">
      <alignment horizontal="center"/>
      <protection/>
    </xf>
    <xf numFmtId="205" fontId="4" fillId="0" borderId="11" xfId="45" applyNumberFormat="1" applyFont="1" applyBorder="1" applyAlignment="1">
      <alignment/>
    </xf>
    <xf numFmtId="204" fontId="4" fillId="0" borderId="11" xfId="45" applyNumberFormat="1" applyFont="1" applyBorder="1" applyAlignment="1">
      <alignment/>
    </xf>
    <xf numFmtId="0" fontId="4" fillId="0" borderId="11" xfId="60" applyFont="1" applyBorder="1">
      <alignment/>
      <protection/>
    </xf>
    <xf numFmtId="205" fontId="4" fillId="0" borderId="11" xfId="60" applyNumberFormat="1" applyFont="1" applyBorder="1">
      <alignment/>
      <protection/>
    </xf>
    <xf numFmtId="0" fontId="25" fillId="0" borderId="11" xfId="0" applyFont="1" applyBorder="1" applyAlignment="1">
      <alignment/>
    </xf>
    <xf numFmtId="206" fontId="5" fillId="33" borderId="30" xfId="61" applyNumberFormat="1" applyFont="1" applyFill="1" applyBorder="1" applyAlignment="1">
      <alignment vertical="center"/>
      <protection/>
    </xf>
    <xf numFmtId="3" fontId="5" fillId="33" borderId="30" xfId="61" applyNumberFormat="1" applyFont="1" applyFill="1" applyBorder="1" applyAlignment="1">
      <alignment vertical="center"/>
      <protection/>
    </xf>
    <xf numFmtId="208" fontId="5" fillId="0" borderId="16" xfId="42" applyNumberFormat="1" applyFont="1" applyBorder="1" applyAlignment="1">
      <alignment horizontal="right"/>
    </xf>
    <xf numFmtId="1" fontId="5" fillId="0" borderId="15" xfId="45" applyNumberFormat="1" applyFont="1" applyBorder="1" applyAlignment="1">
      <alignment horizontal="right"/>
    </xf>
    <xf numFmtId="208" fontId="5" fillId="0" borderId="15" xfId="42" applyNumberFormat="1" applyFont="1" applyBorder="1" applyAlignment="1">
      <alignment horizontal="right"/>
    </xf>
    <xf numFmtId="0" fontId="26" fillId="0" borderId="11" xfId="60" applyFont="1" applyBorder="1">
      <alignment/>
      <protection/>
    </xf>
    <xf numFmtId="205" fontId="26" fillId="0" borderId="11" xfId="60" applyNumberFormat="1" applyFont="1" applyBorder="1">
      <alignment/>
      <protection/>
    </xf>
    <xf numFmtId="205" fontId="26" fillId="0" borderId="0" xfId="60" applyNumberFormat="1" applyFont="1" applyBorder="1">
      <alignment/>
      <protection/>
    </xf>
    <xf numFmtId="0" fontId="26" fillId="0" borderId="0" xfId="60" applyFont="1" applyBorder="1">
      <alignment/>
      <protection/>
    </xf>
    <xf numFmtId="0" fontId="37" fillId="0" borderId="0" xfId="60" applyFont="1">
      <alignment/>
      <protection/>
    </xf>
    <xf numFmtId="209" fontId="5" fillId="36" borderId="15" xfId="42" applyNumberFormat="1" applyFont="1" applyFill="1" applyBorder="1" applyAlignment="1">
      <alignment/>
    </xf>
    <xf numFmtId="205" fontId="5" fillId="36" borderId="15" xfId="42" applyNumberFormat="1" applyFont="1" applyFill="1" applyBorder="1" applyAlignment="1">
      <alignment/>
    </xf>
    <xf numFmtId="206" fontId="7" fillId="0" borderId="0" xfId="61" applyNumberFormat="1" applyFont="1" applyAlignment="1">
      <alignment horizontal="right"/>
      <protection/>
    </xf>
    <xf numFmtId="205" fontId="3" fillId="0" borderId="0" xfId="56" applyNumberFormat="1" applyAlignment="1" applyProtection="1">
      <alignment/>
      <protection/>
    </xf>
    <xf numFmtId="208" fontId="5" fillId="0" borderId="12" xfId="42" applyNumberFormat="1" applyFont="1" applyBorder="1" applyAlignment="1">
      <alignment horizontal="right"/>
    </xf>
    <xf numFmtId="0" fontId="38" fillId="0" borderId="12" xfId="60" applyFont="1" applyBorder="1" applyAlignment="1">
      <alignment horizontal="center"/>
      <protection/>
    </xf>
    <xf numFmtId="205" fontId="38" fillId="0" borderId="12" xfId="45" applyNumberFormat="1" applyFont="1" applyBorder="1" applyAlignment="1">
      <alignment horizontal="center"/>
    </xf>
    <xf numFmtId="0" fontId="5" fillId="0" borderId="0" xfId="60" applyFont="1" applyBorder="1" quotePrefix="1">
      <alignment/>
      <protection/>
    </xf>
    <xf numFmtId="0" fontId="5" fillId="0" borderId="11" xfId="60" applyFont="1" applyBorder="1" quotePrefix="1">
      <alignment/>
      <protection/>
    </xf>
    <xf numFmtId="208" fontId="14" fillId="36" borderId="12" xfId="42" applyNumberFormat="1" applyFont="1" applyFill="1" applyBorder="1" applyAlignment="1">
      <alignment horizontal="center" vertical="center"/>
    </xf>
    <xf numFmtId="0" fontId="14" fillId="36" borderId="12" xfId="61" applyFont="1" applyFill="1" applyBorder="1" applyAlignment="1">
      <alignment horizontal="center" vertical="center"/>
      <protection/>
    </xf>
    <xf numFmtId="0" fontId="14" fillId="36" borderId="15" xfId="60" applyFont="1" applyFill="1" applyBorder="1" applyAlignment="1">
      <alignment horizontal="center"/>
      <protection/>
    </xf>
    <xf numFmtId="205" fontId="14" fillId="36" borderId="15" xfId="45" applyNumberFormat="1" applyFont="1" applyFill="1" applyBorder="1" applyAlignment="1">
      <alignment horizontal="center"/>
    </xf>
    <xf numFmtId="205" fontId="5" fillId="36" borderId="39" xfId="45" applyNumberFormat="1" applyFont="1" applyFill="1" applyBorder="1" applyAlignment="1">
      <alignment horizontal="center" vertical="center" wrapText="1"/>
    </xf>
    <xf numFmtId="0" fontId="14" fillId="36" borderId="40" xfId="60" applyFont="1" applyFill="1" applyBorder="1" applyAlignment="1">
      <alignment horizontal="center" vertical="center"/>
      <protection/>
    </xf>
    <xf numFmtId="205" fontId="14" fillId="36" borderId="13" xfId="45" applyNumberFormat="1" applyFont="1" applyFill="1" applyBorder="1" applyAlignment="1">
      <alignment horizontal="center" vertical="center"/>
    </xf>
    <xf numFmtId="0" fontId="14" fillId="36" borderId="13" xfId="60" applyFont="1" applyFill="1" applyBorder="1" applyAlignment="1">
      <alignment horizontal="center" vertical="center"/>
      <protection/>
    </xf>
    <xf numFmtId="205" fontId="14" fillId="36" borderId="41" xfId="45" applyNumberFormat="1" applyFont="1" applyFill="1" applyBorder="1" applyAlignment="1">
      <alignment horizontal="center" vertical="center"/>
    </xf>
    <xf numFmtId="0" fontId="0" fillId="35" borderId="42" xfId="68" applyFont="1" applyFill="1" applyBorder="1">
      <alignment/>
      <protection/>
    </xf>
    <xf numFmtId="0" fontId="5" fillId="0" borderId="0" xfId="61" applyFont="1" applyFill="1" applyBorder="1">
      <alignment/>
      <protection/>
    </xf>
    <xf numFmtId="0" fontId="12" fillId="0" borderId="0" xfId="60" applyFont="1" applyFill="1" applyBorder="1" applyAlignment="1">
      <alignment horizontal="center"/>
      <protection/>
    </xf>
    <xf numFmtId="0" fontId="11" fillId="0" borderId="0" xfId="60" applyFont="1" applyFill="1" applyBorder="1">
      <alignment/>
      <protection/>
    </xf>
    <xf numFmtId="0" fontId="11" fillId="0" borderId="0" xfId="60" applyFont="1" applyFill="1" applyBorder="1" applyAlignment="1">
      <alignment horizontal="center"/>
      <protection/>
    </xf>
    <xf numFmtId="0" fontId="11" fillId="0" borderId="11" xfId="60" applyFont="1" applyFill="1" applyBorder="1">
      <alignment/>
      <protection/>
    </xf>
    <xf numFmtId="0" fontId="11" fillId="0" borderId="11" xfId="60" applyFont="1" applyFill="1" applyBorder="1" applyAlignment="1">
      <alignment horizontal="center"/>
      <protection/>
    </xf>
    <xf numFmtId="0" fontId="5" fillId="0" borderId="10" xfId="61" applyFont="1" applyFill="1" applyBorder="1">
      <alignment/>
      <protection/>
    </xf>
    <xf numFmtId="0" fontId="4" fillId="0" borderId="0" xfId="60" applyFont="1" applyFill="1" applyBorder="1" quotePrefix="1">
      <alignment/>
      <protection/>
    </xf>
    <xf numFmtId="0" fontId="4" fillId="0" borderId="11" xfId="60" applyFont="1" applyFill="1" applyBorder="1" quotePrefix="1">
      <alignment/>
      <protection/>
    </xf>
    <xf numFmtId="0" fontId="5" fillId="0" borderId="0" xfId="61" applyFont="1" applyFill="1" applyBorder="1" applyAlignment="1">
      <alignment vertical="center"/>
      <protection/>
    </xf>
    <xf numFmtId="0" fontId="4" fillId="0" borderId="0" xfId="60" applyFont="1" applyFill="1" applyBorder="1">
      <alignment/>
      <protection/>
    </xf>
    <xf numFmtId="0" fontId="4" fillId="0" borderId="11" xfId="60" applyFont="1" applyFill="1" applyBorder="1">
      <alignment/>
      <protection/>
    </xf>
    <xf numFmtId="0" fontId="11" fillId="0" borderId="10" xfId="60" applyFont="1" applyFill="1" applyBorder="1" applyAlignment="1">
      <alignment horizontal="center"/>
      <protection/>
    </xf>
    <xf numFmtId="0" fontId="4" fillId="0" borderId="11" xfId="60" applyFont="1" applyFill="1" applyBorder="1" applyAlignment="1">
      <alignment horizontal="center"/>
      <protection/>
    </xf>
    <xf numFmtId="0" fontId="4" fillId="0" borderId="0" xfId="60" applyFont="1" applyFill="1" applyBorder="1" applyAlignment="1">
      <alignment horizontal="center"/>
      <protection/>
    </xf>
    <xf numFmtId="209" fontId="6" fillId="0" borderId="35" xfId="42" applyNumberFormat="1" applyFont="1" applyBorder="1" applyAlignment="1">
      <alignment horizontal="right"/>
    </xf>
    <xf numFmtId="209" fontId="14" fillId="0" borderId="35" xfId="42" applyNumberFormat="1" applyFont="1" applyBorder="1" applyAlignment="1">
      <alignment horizontal="right"/>
    </xf>
    <xf numFmtId="208" fontId="14" fillId="0" borderId="35" xfId="42" applyNumberFormat="1" applyFont="1" applyBorder="1" applyAlignment="1">
      <alignment horizontal="center"/>
    </xf>
    <xf numFmtId="0" fontId="26" fillId="0" borderId="0" xfId="0" applyFont="1" applyAlignment="1">
      <alignment/>
    </xf>
    <xf numFmtId="0" fontId="7" fillId="0" borderId="12" xfId="60" applyFont="1" applyBorder="1" applyAlignment="1">
      <alignment horizontal="center" vertical="center"/>
      <protection/>
    </xf>
    <xf numFmtId="205" fontId="7" fillId="0" borderId="12" xfId="46" applyNumberFormat="1" applyFont="1" applyBorder="1" applyAlignment="1">
      <alignment horizontal="center" vertical="center"/>
    </xf>
    <xf numFmtId="0" fontId="14" fillId="0" borderId="15" xfId="60" applyFont="1" applyFill="1" applyBorder="1" applyAlignment="1">
      <alignment horizontal="center"/>
      <protection/>
    </xf>
    <xf numFmtId="205" fontId="14" fillId="0" borderId="15" xfId="45" applyNumberFormat="1" applyFont="1" applyFill="1" applyBorder="1" applyAlignment="1">
      <alignment horizontal="center"/>
    </xf>
    <xf numFmtId="0" fontId="39" fillId="0" borderId="15" xfId="60" applyFont="1" applyBorder="1" applyAlignment="1">
      <alignment horizontal="right"/>
      <protection/>
    </xf>
    <xf numFmtId="205" fontId="39" fillId="0" borderId="15" xfId="45" applyNumberFormat="1" applyFont="1" applyBorder="1" applyAlignment="1">
      <alignment horizontal="center"/>
    </xf>
    <xf numFmtId="0" fontId="39" fillId="0" borderId="12" xfId="60" applyFont="1" applyBorder="1" applyAlignment="1">
      <alignment horizontal="right" vertical="center"/>
      <protection/>
    </xf>
    <xf numFmtId="208" fontId="39" fillId="0" borderId="12" xfId="42" applyNumberFormat="1" applyFont="1" applyBorder="1" applyAlignment="1">
      <alignment horizontal="center" vertical="center"/>
    </xf>
    <xf numFmtId="0" fontId="14" fillId="0" borderId="15" xfId="61" applyFont="1" applyBorder="1" applyAlignment="1">
      <alignment horizontal="center" vertical="center"/>
      <protection/>
    </xf>
    <xf numFmtId="205" fontId="14" fillId="0" borderId="15" xfId="61" applyNumberFormat="1" applyFont="1" applyBorder="1" applyAlignment="1">
      <alignment horizontal="center" vertical="center"/>
      <protection/>
    </xf>
    <xf numFmtId="0" fontId="13" fillId="0" borderId="0" xfId="61" applyFont="1" applyAlignment="1">
      <alignment horizontal="right"/>
      <protection/>
    </xf>
    <xf numFmtId="208" fontId="6" fillId="0" borderId="35" xfId="42" applyNumberFormat="1" applyFont="1" applyBorder="1" applyAlignment="1">
      <alignment horizontal="center"/>
    </xf>
    <xf numFmtId="0" fontId="8" fillId="36" borderId="14" xfId="61" applyFont="1" applyFill="1" applyBorder="1" applyAlignment="1">
      <alignment horizontal="center" vertical="center"/>
      <protection/>
    </xf>
    <xf numFmtId="0" fontId="8" fillId="36" borderId="12" xfId="61" applyFont="1" applyFill="1" applyBorder="1" applyAlignment="1">
      <alignment horizontal="center" vertical="center"/>
      <protection/>
    </xf>
    <xf numFmtId="0" fontId="9" fillId="36" borderId="15" xfId="61" applyFont="1" applyFill="1" applyBorder="1" applyAlignment="1">
      <alignment horizontal="center" vertical="center" wrapText="1"/>
      <protection/>
    </xf>
    <xf numFmtId="0" fontId="9" fillId="36" borderId="15" xfId="61" applyFont="1" applyFill="1" applyBorder="1" applyAlignment="1">
      <alignment horizontal="center" vertical="center"/>
      <protection/>
    </xf>
    <xf numFmtId="204" fontId="9" fillId="36" borderId="15" xfId="45" applyNumberFormat="1" applyFont="1" applyFill="1" applyBorder="1" applyAlignment="1">
      <alignment horizontal="center" vertical="center" wrapText="1"/>
    </xf>
    <xf numFmtId="204" fontId="9" fillId="36" borderId="15" xfId="45" applyNumberFormat="1" applyFont="1" applyFill="1" applyBorder="1" applyAlignment="1">
      <alignment horizontal="center" vertical="center"/>
    </xf>
    <xf numFmtId="0" fontId="19" fillId="36" borderId="14" xfId="60" applyFont="1" applyFill="1" applyBorder="1" applyAlignment="1">
      <alignment horizontal="center" vertical="center"/>
      <protection/>
    </xf>
    <xf numFmtId="0" fontId="19" fillId="36" borderId="12" xfId="60" applyFont="1" applyFill="1" applyBorder="1" applyAlignment="1">
      <alignment vertical="center"/>
      <protection/>
    </xf>
    <xf numFmtId="204" fontId="20" fillId="36" borderId="15" xfId="45" applyNumberFormat="1" applyFont="1" applyFill="1" applyBorder="1" applyAlignment="1">
      <alignment horizontal="center" vertical="center" textRotation="59" wrapText="1"/>
    </xf>
    <xf numFmtId="204" fontId="21" fillId="36" borderId="15" xfId="45" applyNumberFormat="1" applyFont="1" applyFill="1" applyBorder="1" applyAlignment="1">
      <alignment horizontal="center" vertical="center" textRotation="61" wrapText="1"/>
    </xf>
    <xf numFmtId="204" fontId="21" fillId="36" borderId="14" xfId="45" applyNumberFormat="1" applyFont="1" applyFill="1" applyBorder="1" applyAlignment="1">
      <alignment vertical="center" textRotation="60" wrapText="1"/>
    </xf>
    <xf numFmtId="204" fontId="21" fillId="36" borderId="15" xfId="45" applyNumberFormat="1" applyFont="1" applyFill="1" applyBorder="1" applyAlignment="1">
      <alignment horizontal="center" vertical="center" textRotation="60" wrapText="1"/>
    </xf>
    <xf numFmtId="204" fontId="21" fillId="36" borderId="15" xfId="45" applyNumberFormat="1" applyFont="1" applyFill="1" applyBorder="1" applyAlignment="1">
      <alignment vertical="center" textRotation="61" wrapText="1"/>
    </xf>
    <xf numFmtId="204" fontId="21" fillId="36" borderId="14" xfId="45" applyNumberFormat="1" applyFont="1" applyFill="1" applyBorder="1" applyAlignment="1">
      <alignment vertical="center" textRotation="61" wrapText="1"/>
    </xf>
    <xf numFmtId="0" fontId="5" fillId="36" borderId="14" xfId="60" applyFont="1" applyFill="1" applyBorder="1" applyAlignment="1">
      <alignment horizontal="center" vertical="center"/>
      <protection/>
    </xf>
    <xf numFmtId="0" fontId="0" fillId="36" borderId="0" xfId="0" applyFill="1" applyAlignment="1">
      <alignment/>
    </xf>
    <xf numFmtId="0" fontId="0" fillId="36" borderId="12" xfId="0" applyFill="1" applyBorder="1" applyAlignment="1">
      <alignment/>
    </xf>
    <xf numFmtId="0" fontId="5" fillId="36" borderId="43" xfId="68" applyFont="1" applyFill="1" applyBorder="1" applyAlignment="1">
      <alignment horizontal="center" vertical="center"/>
      <protection/>
    </xf>
    <xf numFmtId="0" fontId="5" fillId="36" borderId="44" xfId="68" applyFont="1" applyFill="1" applyBorder="1" applyAlignment="1">
      <alignment horizontal="center" vertical="center"/>
      <protection/>
    </xf>
    <xf numFmtId="0" fontId="5" fillId="36" borderId="45" xfId="68" applyFont="1" applyFill="1" applyBorder="1" applyAlignment="1">
      <alignment horizontal="center" vertical="center"/>
      <protection/>
    </xf>
    <xf numFmtId="0" fontId="5" fillId="36" borderId="18" xfId="68" applyFont="1" applyFill="1" applyBorder="1" applyAlignment="1">
      <alignment horizontal="center" vertical="center"/>
      <protection/>
    </xf>
    <xf numFmtId="0" fontId="5" fillId="36" borderId="46" xfId="68" applyFont="1" applyFill="1" applyBorder="1" applyAlignment="1">
      <alignment horizontal="center" vertical="center"/>
      <protection/>
    </xf>
    <xf numFmtId="0" fontId="5" fillId="36" borderId="47" xfId="68" applyFont="1" applyFill="1" applyBorder="1" applyAlignment="1">
      <alignment horizontal="center" vertical="center"/>
      <protection/>
    </xf>
    <xf numFmtId="203" fontId="5" fillId="36" borderId="14" xfId="45" applyNumberFormat="1" applyFont="1" applyFill="1" applyBorder="1" applyAlignment="1">
      <alignment horizontal="center" vertical="center" wrapText="1"/>
    </xf>
    <xf numFmtId="203" fontId="0" fillId="36" borderId="44" xfId="0" applyNumberFormat="1" applyFont="1" applyFill="1" applyBorder="1" applyAlignment="1">
      <alignment horizontal="center" vertical="center"/>
    </xf>
    <xf numFmtId="204" fontId="5" fillId="36" borderId="26" xfId="45" applyNumberFormat="1" applyFont="1" applyFill="1" applyBorder="1" applyAlignment="1">
      <alignment horizontal="center" vertical="center"/>
    </xf>
    <xf numFmtId="0" fontId="0" fillId="36" borderId="47" xfId="0" applyFont="1" applyFill="1" applyBorder="1" applyAlignment="1">
      <alignment horizontal="center" vertical="center"/>
    </xf>
    <xf numFmtId="204" fontId="5" fillId="36" borderId="14" xfId="45" applyNumberFormat="1" applyFont="1" applyFill="1" applyBorder="1" applyAlignment="1">
      <alignment horizontal="center" vertical="center"/>
    </xf>
    <xf numFmtId="0" fontId="0" fillId="36" borderId="44" xfId="0" applyFont="1" applyFill="1" applyBorder="1" applyAlignment="1">
      <alignment horizontal="center" vertical="center"/>
    </xf>
    <xf numFmtId="204" fontId="5" fillId="36" borderId="42" xfId="45" applyNumberFormat="1" applyFont="1" applyFill="1" applyBorder="1" applyAlignment="1">
      <alignment horizontal="center" vertical="center" wrapText="1"/>
    </xf>
    <xf numFmtId="204" fontId="5" fillId="36" borderId="14" xfId="45" applyNumberFormat="1" applyFont="1" applyFill="1" applyBorder="1" applyAlignment="1">
      <alignment horizontal="center" vertical="center" wrapText="1"/>
    </xf>
    <xf numFmtId="0" fontId="0" fillId="36" borderId="43" xfId="0" applyFont="1" applyFill="1" applyBorder="1" applyAlignment="1">
      <alignment horizontal="center" vertical="center" wrapText="1"/>
    </xf>
    <xf numFmtId="0" fontId="0" fillId="36" borderId="44" xfId="0" applyFont="1" applyFill="1" applyBorder="1" applyAlignment="1">
      <alignment horizontal="center" vertical="center" wrapText="1"/>
    </xf>
    <xf numFmtId="204" fontId="5" fillId="36" borderId="45" xfId="45" applyNumberFormat="1" applyFont="1" applyFill="1" applyBorder="1" applyAlignment="1">
      <alignment horizontal="center" vertical="center"/>
    </xf>
    <xf numFmtId="204" fontId="5" fillId="36" borderId="18" xfId="45" applyNumberFormat="1" applyFont="1" applyFill="1" applyBorder="1" applyAlignment="1">
      <alignment horizontal="center" vertical="center"/>
    </xf>
    <xf numFmtId="204" fontId="5" fillId="36" borderId="46" xfId="45" applyNumberFormat="1" applyFont="1" applyFill="1" applyBorder="1" applyAlignment="1">
      <alignment horizontal="center" vertical="center"/>
    </xf>
    <xf numFmtId="204" fontId="5" fillId="36" borderId="39" xfId="45" applyNumberFormat="1" applyFont="1" applyFill="1" applyBorder="1" applyAlignment="1">
      <alignment horizontal="center" vertical="center" wrapText="1"/>
    </xf>
    <xf numFmtId="204" fontId="5" fillId="36" borderId="39" xfId="45" applyNumberFormat="1" applyFont="1" applyFill="1" applyBorder="1" applyAlignment="1">
      <alignment horizontal="center" vertical="center"/>
    </xf>
    <xf numFmtId="0" fontId="8" fillId="0" borderId="14" xfId="60" applyFont="1" applyBorder="1" applyAlignment="1">
      <alignment horizontal="center" vertical="center"/>
      <protection/>
    </xf>
    <xf numFmtId="0" fontId="8" fillId="0" borderId="12" xfId="60" applyFont="1" applyBorder="1" applyAlignment="1">
      <alignment vertical="center"/>
      <protection/>
    </xf>
    <xf numFmtId="204" fontId="28" fillId="0" borderId="15" xfId="45" applyNumberFormat="1" applyFont="1" applyBorder="1" applyAlignment="1">
      <alignment horizontal="center" textRotation="60" wrapText="1"/>
    </xf>
    <xf numFmtId="204" fontId="28" fillId="0" borderId="14" xfId="45" applyNumberFormat="1" applyFont="1" applyBorder="1" applyAlignment="1">
      <alignment horizontal="center" textRotation="60" wrapText="1"/>
    </xf>
    <xf numFmtId="204" fontId="28" fillId="0" borderId="14" xfId="45" applyNumberFormat="1" applyFont="1" applyFill="1" applyBorder="1" applyAlignment="1">
      <alignment horizontal="center" textRotation="60" wrapText="1"/>
    </xf>
    <xf numFmtId="204" fontId="28" fillId="0" borderId="15" xfId="45" applyNumberFormat="1" applyFont="1" applyFill="1" applyBorder="1" applyAlignment="1">
      <alignment horizontal="center" textRotation="60" wrapText="1"/>
    </xf>
    <xf numFmtId="204" fontId="9" fillId="0" borderId="15" xfId="45" applyNumberFormat="1" applyFont="1" applyBorder="1" applyAlignment="1">
      <alignment horizontal="center" vertical="center"/>
    </xf>
    <xf numFmtId="0" fontId="5" fillId="33" borderId="33" xfId="60" applyFont="1" applyFill="1" applyBorder="1" applyAlignment="1">
      <alignment horizontal="center" vertical="center"/>
      <protection/>
    </xf>
    <xf numFmtId="194" fontId="5" fillId="0" borderId="33" xfId="42" applyFont="1" applyBorder="1" applyAlignment="1">
      <alignment horizontal="center" wrapText="1"/>
    </xf>
    <xf numFmtId="194" fontId="5" fillId="0" borderId="33" xfId="42" applyFont="1" applyBorder="1" applyAlignment="1">
      <alignment horizontal="center"/>
    </xf>
    <xf numFmtId="208" fontId="5" fillId="0" borderId="34" xfId="42" applyNumberFormat="1" applyFont="1" applyBorder="1" applyAlignment="1">
      <alignment horizontal="right" vertical="center" textRotation="60"/>
    </xf>
    <xf numFmtId="208" fontId="5" fillId="0" borderId="35" xfId="42" applyNumberFormat="1" applyFont="1" applyBorder="1" applyAlignment="1">
      <alignment horizontal="right" vertical="center" textRotation="60"/>
    </xf>
    <xf numFmtId="208" fontId="5" fillId="0" borderId="34" xfId="42" applyNumberFormat="1" applyFont="1" applyBorder="1" applyAlignment="1">
      <alignment horizontal="center" vertical="center"/>
    </xf>
    <xf numFmtId="208" fontId="5" fillId="0" borderId="35" xfId="42" applyNumberFormat="1" applyFont="1" applyBorder="1" applyAlignment="1">
      <alignment horizontal="center" vertical="center"/>
    </xf>
    <xf numFmtId="0" fontId="5" fillId="0" borderId="34" xfId="60" applyFont="1" applyBorder="1" applyAlignment="1">
      <alignment horizontal="center" vertical="center"/>
      <protection/>
    </xf>
    <xf numFmtId="0" fontId="4" fillId="0" borderId="35" xfId="60" applyFont="1" applyBorder="1" applyAlignment="1">
      <alignment horizontal="center" vertical="center"/>
      <protection/>
    </xf>
    <xf numFmtId="0" fontId="4" fillId="0" borderId="34" xfId="60" applyFont="1" applyBorder="1" applyAlignment="1">
      <alignment horizontal="center" vertical="top"/>
      <protection/>
    </xf>
    <xf numFmtId="0" fontId="4" fillId="0" borderId="35" xfId="60" applyFont="1" applyBorder="1" applyAlignment="1">
      <alignment horizontal="center" vertical="top"/>
      <protection/>
    </xf>
    <xf numFmtId="0" fontId="5" fillId="0" borderId="35" xfId="60" applyFont="1" applyBorder="1" applyAlignment="1">
      <alignment horizontal="center" vertical="center"/>
      <protection/>
    </xf>
    <xf numFmtId="194" fontId="5" fillId="0" borderId="21" xfId="42" applyFont="1" applyBorder="1" applyAlignment="1">
      <alignment horizontal="center"/>
    </xf>
    <xf numFmtId="194" fontId="5" fillId="0" borderId="24" xfId="42" applyFont="1" applyBorder="1" applyAlignment="1">
      <alignment horizontal="center"/>
    </xf>
    <xf numFmtId="204" fontId="8" fillId="0" borderId="18" xfId="46" applyNumberFormat="1" applyFont="1" applyBorder="1" applyAlignment="1">
      <alignment horizontal="center" vertical="center"/>
    </xf>
    <xf numFmtId="204" fontId="28" fillId="0" borderId="18" xfId="46" applyNumberFormat="1" applyFont="1" applyBorder="1" applyAlignment="1">
      <alignment horizontal="center" textRotation="60" wrapText="1"/>
    </xf>
    <xf numFmtId="204" fontId="28" fillId="0" borderId="18" xfId="45" applyNumberFormat="1" applyFont="1" applyBorder="1" applyAlignment="1">
      <alignment horizontal="center" textRotation="69" wrapText="1"/>
    </xf>
    <xf numFmtId="204" fontId="28" fillId="0" borderId="15" xfId="45" applyNumberFormat="1" applyFont="1" applyBorder="1" applyAlignment="1">
      <alignment horizontal="left" textRotation="69" wrapText="1"/>
    </xf>
    <xf numFmtId="204" fontId="28" fillId="0" borderId="14" xfId="45" applyNumberFormat="1" applyFont="1" applyBorder="1" applyAlignment="1">
      <alignment horizontal="left" textRotation="70" wrapText="1"/>
    </xf>
    <xf numFmtId="204" fontId="28" fillId="0" borderId="15" xfId="45" applyNumberFormat="1" applyFont="1" applyBorder="1" applyAlignment="1">
      <alignment horizontal="left" textRotation="66" wrapText="1"/>
    </xf>
    <xf numFmtId="204" fontId="28" fillId="0" borderId="15" xfId="45" applyNumberFormat="1" applyFont="1" applyBorder="1" applyAlignment="1">
      <alignment horizontal="left" textRotation="70" wrapText="1"/>
    </xf>
    <xf numFmtId="204" fontId="20" fillId="0" borderId="15" xfId="45" applyNumberFormat="1" applyFont="1" applyBorder="1" applyAlignment="1">
      <alignment horizontal="center" textRotation="60" wrapText="1"/>
    </xf>
    <xf numFmtId="204" fontId="20" fillId="0" borderId="14" xfId="45" applyNumberFormat="1" applyFont="1" applyBorder="1" applyAlignment="1">
      <alignment horizontal="center" textRotation="60" wrapText="1"/>
    </xf>
    <xf numFmtId="0" fontId="19" fillId="0" borderId="14" xfId="60" applyFont="1" applyBorder="1" applyAlignment="1">
      <alignment horizontal="center" vertical="center"/>
      <protection/>
    </xf>
    <xf numFmtId="0" fontId="30" fillId="0" borderId="12" xfId="0" applyFont="1" applyBorder="1" applyAlignment="1">
      <alignment horizontal="center" vertical="center"/>
    </xf>
    <xf numFmtId="0" fontId="30" fillId="0" borderId="14" xfId="0" applyFont="1" applyBorder="1" applyAlignment="1">
      <alignment horizontal="center" vertical="center"/>
    </xf>
    <xf numFmtId="0" fontId="8" fillId="0" borderId="18" xfId="0" applyFont="1" applyBorder="1" applyAlignment="1">
      <alignment horizontal="center" vertical="center"/>
    </xf>
    <xf numFmtId="0" fontId="0" fillId="0" borderId="18" xfId="0" applyBorder="1" applyAlignment="1">
      <alignment horizontal="center" vertical="center"/>
    </xf>
    <xf numFmtId="0" fontId="9" fillId="0" borderId="14" xfId="0" applyFont="1" applyBorder="1" applyAlignment="1">
      <alignment horizontal="left" vertical="center" textRotation="71"/>
    </xf>
    <xf numFmtId="0" fontId="0" fillId="0" borderId="12" xfId="0" applyBorder="1" applyAlignment="1">
      <alignment vertical="center"/>
    </xf>
    <xf numFmtId="0" fontId="0" fillId="0" borderId="12" xfId="0" applyBorder="1" applyAlignment="1">
      <alignment horizontal="left" vertical="center"/>
    </xf>
    <xf numFmtId="204" fontId="5" fillId="0" borderId="18" xfId="45" applyNumberFormat="1" applyFont="1" applyBorder="1" applyAlignment="1">
      <alignment horizontal="center" vertical="center" wrapText="1"/>
    </xf>
    <xf numFmtId="0" fontId="0" fillId="0" borderId="18" xfId="0" applyBorder="1" applyAlignment="1">
      <alignment vertical="center"/>
    </xf>
    <xf numFmtId="204" fontId="5" fillId="0" borderId="18" xfId="45" applyNumberFormat="1" applyFont="1" applyBorder="1" applyAlignment="1">
      <alignment horizontal="center" vertical="center"/>
    </xf>
    <xf numFmtId="0" fontId="9" fillId="0" borderId="14" xfId="61" applyFont="1" applyBorder="1" applyAlignment="1">
      <alignment horizontal="center" vertical="center"/>
      <protection/>
    </xf>
    <xf numFmtId="0" fontId="9" fillId="0" borderId="12" xfId="61" applyFont="1" applyBorder="1" applyAlignment="1">
      <alignment horizontal="center" vertical="center"/>
      <protection/>
    </xf>
    <xf numFmtId="0" fontId="28" fillId="0" borderId="15" xfId="61" applyFont="1" applyBorder="1" applyAlignment="1">
      <alignment horizontal="center" textRotation="58"/>
      <protection/>
    </xf>
    <xf numFmtId="0" fontId="28" fillId="0" borderId="15" xfId="61" applyFont="1" applyBorder="1" applyAlignment="1">
      <alignment horizontal="center" textRotation="58" wrapText="1"/>
      <protection/>
    </xf>
    <xf numFmtId="0" fontId="9" fillId="0" borderId="15" xfId="61" applyFont="1" applyBorder="1" applyAlignment="1">
      <alignment horizontal="center" vertical="center"/>
      <protection/>
    </xf>
    <xf numFmtId="204" fontId="28" fillId="0" borderId="15" xfId="46" applyNumberFormat="1" applyFont="1" applyBorder="1" applyAlignment="1">
      <alignment horizontal="center" textRotation="58" wrapText="1"/>
    </xf>
    <xf numFmtId="204" fontId="28" fillId="0" borderId="15" xfId="46" applyNumberFormat="1" applyFont="1" applyBorder="1" applyAlignment="1">
      <alignment horizontal="center" textRotation="58"/>
    </xf>
    <xf numFmtId="208" fontId="5" fillId="0" borderId="21" xfId="42" applyNumberFormat="1" applyFont="1" applyBorder="1" applyAlignment="1">
      <alignment horizontal="center" vertical="center"/>
    </xf>
    <xf numFmtId="208" fontId="5" fillId="0" borderId="24" xfId="42" applyNumberFormat="1" applyFont="1" applyBorder="1" applyAlignment="1">
      <alignment horizontal="center" vertical="center"/>
    </xf>
    <xf numFmtId="208" fontId="5" fillId="0" borderId="34" xfId="42" applyNumberFormat="1" applyFont="1" applyBorder="1" applyAlignment="1">
      <alignment horizontal="right" vertical="center"/>
    </xf>
    <xf numFmtId="208" fontId="5" fillId="0" borderId="35" xfId="42" applyNumberFormat="1" applyFont="1" applyBorder="1" applyAlignment="1">
      <alignment horizontal="right" vertical="center"/>
    </xf>
    <xf numFmtId="208" fontId="5" fillId="0" borderId="34" xfId="42" applyNumberFormat="1" applyFont="1" applyBorder="1" applyAlignment="1">
      <alignment vertical="center"/>
    </xf>
    <xf numFmtId="208" fontId="5" fillId="0" borderId="35" xfId="42" applyNumberFormat="1" applyFont="1" applyBorder="1" applyAlignment="1">
      <alignment vertical="center"/>
    </xf>
    <xf numFmtId="0" fontId="9" fillId="0" borderId="14" xfId="61" applyFont="1" applyBorder="1" applyAlignment="1">
      <alignment horizontal="center" vertical="center" wrapText="1"/>
      <protection/>
    </xf>
    <xf numFmtId="0" fontId="0" fillId="0" borderId="12" xfId="0" applyBorder="1" applyAlignment="1">
      <alignment horizontal="center" vertical="center" wrapText="1"/>
    </xf>
    <xf numFmtId="208" fontId="5" fillId="0" borderId="34" xfId="42" applyNumberFormat="1" applyFont="1" applyBorder="1" applyAlignment="1">
      <alignment vertical="center" textRotation="60"/>
    </xf>
    <xf numFmtId="208" fontId="5" fillId="0" borderId="35" xfId="42" applyNumberFormat="1" applyFont="1" applyBorder="1" applyAlignment="1">
      <alignment vertical="center" textRotation="60"/>
    </xf>
    <xf numFmtId="204" fontId="28" fillId="0" borderId="18" xfId="45" applyNumberFormat="1" applyFont="1" applyBorder="1" applyAlignment="1">
      <alignment horizontal="center" textRotation="78" wrapText="1"/>
    </xf>
    <xf numFmtId="204" fontId="28" fillId="0" borderId="18" xfId="45" applyNumberFormat="1" applyFont="1" applyBorder="1" applyAlignment="1">
      <alignment horizontal="left" textRotation="78" wrapText="1"/>
    </xf>
    <xf numFmtId="204" fontId="9" fillId="0" borderId="18" xfId="45" applyNumberFormat="1" applyFont="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Ann Report 2005 June_30" xfId="44"/>
    <cellStyle name="Comma_Annual TICP Report 2005" xfId="45"/>
    <cellStyle name="Comma_Draft Ann Rep 2005 June_30"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_Annual Report 2001new" xfId="60"/>
    <cellStyle name="Normal_Publish Annual Report 2001new" xfId="61"/>
    <cellStyle name="Note" xfId="62"/>
    <cellStyle name="Output" xfId="63"/>
    <cellStyle name="Percent" xfId="64"/>
    <cellStyle name="Title" xfId="65"/>
    <cellStyle name="Total" xfId="66"/>
    <cellStyle name="Warning Text" xfId="67"/>
    <cellStyle name="ปกติ_Annual Report 2003 27Ju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 TargetMode="Externa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sheetPr>
  <dimension ref="A1:T119"/>
  <sheetViews>
    <sheetView zoomScalePageLayoutView="0" workbookViewId="0" topLeftCell="A1">
      <pane xSplit="1" ySplit="4" topLeftCell="B92" activePane="bottomRight" state="frozen"/>
      <selection pane="topLeft" activeCell="A1" sqref="A1"/>
      <selection pane="topRight" activeCell="B1" sqref="B1"/>
      <selection pane="bottomLeft" activeCell="A5" sqref="A5"/>
      <selection pane="bottomRight" activeCell="A98" sqref="A98"/>
    </sheetView>
  </sheetViews>
  <sheetFormatPr defaultColWidth="9.140625" defaultRowHeight="12.75"/>
  <cols>
    <col min="1" max="1" width="26.28125" style="26" customWidth="1"/>
    <col min="2" max="2" width="6.7109375" style="25" customWidth="1"/>
    <col min="3" max="3" width="10.57421875" style="484" customWidth="1"/>
    <col min="4" max="4" width="5.421875" style="26" customWidth="1"/>
    <col min="5" max="5" width="9.00390625" style="484" customWidth="1"/>
    <col min="6" max="6" width="5.421875" style="31" customWidth="1"/>
    <col min="7" max="7" width="8.7109375" style="487" customWidth="1"/>
    <col min="8" max="8" width="4.7109375" style="24" customWidth="1"/>
    <col min="9" max="9" width="8.140625" style="484" customWidth="1"/>
    <col min="10" max="10" width="5.57421875" style="25" customWidth="1"/>
    <col min="11" max="11" width="9.7109375" style="484" customWidth="1"/>
    <col min="12" max="12" width="5.28125" style="24" customWidth="1"/>
    <col min="13" max="13" width="9.57421875" style="24" customWidth="1"/>
    <col min="14" max="14" width="7.00390625" style="25" customWidth="1"/>
    <col min="15" max="15" width="10.140625" style="487" customWidth="1"/>
    <col min="16" max="16" width="10.7109375" style="65" customWidth="1"/>
    <col min="17" max="17" width="9.140625" style="65" customWidth="1"/>
    <col min="18" max="18" width="6.28125" style="65" customWidth="1"/>
    <col min="19" max="19" width="9.7109375" style="65" customWidth="1"/>
    <col min="20" max="20" width="9.140625" style="65" customWidth="1"/>
    <col min="21" max="16384" width="9.140625" style="138" customWidth="1"/>
  </cols>
  <sheetData>
    <row r="1" spans="1:15" ht="24" customHeight="1" thickBot="1">
      <c r="A1" s="1" t="s">
        <v>482</v>
      </c>
      <c r="B1" s="2"/>
      <c r="C1" s="478"/>
      <c r="D1" s="3"/>
      <c r="E1" s="478"/>
      <c r="F1" s="4"/>
      <c r="G1" s="486"/>
      <c r="H1" s="5"/>
      <c r="I1" s="478"/>
      <c r="J1" s="2"/>
      <c r="K1" s="478"/>
      <c r="L1" s="583" t="s">
        <v>483</v>
      </c>
      <c r="O1" s="584"/>
    </row>
    <row r="2" spans="1:20" s="8" customFormat="1" ht="36" customHeight="1" thickBot="1">
      <c r="A2" s="1125" t="s">
        <v>473</v>
      </c>
      <c r="B2" s="1127" t="s">
        <v>489</v>
      </c>
      <c r="C2" s="1128"/>
      <c r="D2" s="1127" t="s">
        <v>484</v>
      </c>
      <c r="E2" s="1128"/>
      <c r="F2" s="1129" t="s">
        <v>485</v>
      </c>
      <c r="G2" s="1130"/>
      <c r="H2" s="1129" t="s">
        <v>486</v>
      </c>
      <c r="I2" s="1130"/>
      <c r="J2" s="1129" t="s">
        <v>487</v>
      </c>
      <c r="K2" s="1130"/>
      <c r="L2" s="1129" t="s">
        <v>488</v>
      </c>
      <c r="M2" s="1129"/>
      <c r="N2" s="1128" t="s">
        <v>481</v>
      </c>
      <c r="O2" s="1128"/>
      <c r="P2" s="65"/>
      <c r="Q2" s="65"/>
      <c r="R2" s="65"/>
      <c r="S2" s="65"/>
      <c r="T2" s="65"/>
    </row>
    <row r="3" spans="1:20" s="8" customFormat="1" ht="21.75" customHeight="1" thickBot="1">
      <c r="A3" s="1126"/>
      <c r="B3" s="1085" t="s">
        <v>490</v>
      </c>
      <c r="C3" s="1084" t="s">
        <v>475</v>
      </c>
      <c r="D3" s="1085" t="s">
        <v>474</v>
      </c>
      <c r="E3" s="1084" t="s">
        <v>475</v>
      </c>
      <c r="F3" s="1085" t="s">
        <v>474</v>
      </c>
      <c r="G3" s="1084" t="s">
        <v>475</v>
      </c>
      <c r="H3" s="1085" t="s">
        <v>474</v>
      </c>
      <c r="I3" s="1084" t="s">
        <v>475</v>
      </c>
      <c r="J3" s="1085" t="s">
        <v>474</v>
      </c>
      <c r="K3" s="1084" t="s">
        <v>475</v>
      </c>
      <c r="L3" s="1085" t="s">
        <v>505</v>
      </c>
      <c r="M3" s="1084" t="s">
        <v>475</v>
      </c>
      <c r="N3" s="1085" t="s">
        <v>491</v>
      </c>
      <c r="O3" s="1084" t="s">
        <v>475</v>
      </c>
      <c r="P3" s="65"/>
      <c r="Q3" s="65"/>
      <c r="R3" s="65"/>
      <c r="S3" s="65"/>
      <c r="T3" s="65"/>
    </row>
    <row r="4" spans="1:15" ht="21.75" customHeight="1">
      <c r="A4" s="520" t="s">
        <v>480</v>
      </c>
      <c r="B4" s="521"/>
      <c r="C4" s="522"/>
      <c r="D4" s="523"/>
      <c r="E4" s="522"/>
      <c r="F4" s="524"/>
      <c r="G4" s="525"/>
      <c r="H4" s="526"/>
      <c r="I4" s="522"/>
      <c r="J4" s="521"/>
      <c r="K4" s="522"/>
      <c r="L4" s="526"/>
      <c r="M4" s="526"/>
      <c r="N4" s="521"/>
      <c r="O4" s="525"/>
    </row>
    <row r="5" spans="1:15" ht="19.5" customHeight="1">
      <c r="A5" s="10" t="s">
        <v>2</v>
      </c>
      <c r="B5" s="11">
        <f>ApIII!R6</f>
        <v>109</v>
      </c>
      <c r="C5" s="480">
        <f>ApIII!S6</f>
        <v>38058.93</v>
      </c>
      <c r="D5" s="12">
        <f>ApVII!X5</f>
        <v>4</v>
      </c>
      <c r="E5" s="485">
        <f>ApVII!Y5</f>
        <v>522.6</v>
      </c>
      <c r="F5" s="11">
        <f>ApX!R5</f>
        <v>13</v>
      </c>
      <c r="G5" s="416">
        <f>ApX!S5</f>
        <v>1526.6999999999998</v>
      </c>
      <c r="H5" s="11" t="s">
        <v>3</v>
      </c>
      <c r="I5" s="480" t="s">
        <v>3</v>
      </c>
      <c r="J5" s="13">
        <f>ApXII!T5</f>
        <v>33</v>
      </c>
      <c r="K5" s="480">
        <f>ApXII!U5</f>
        <v>1928.7</v>
      </c>
      <c r="L5" s="12">
        <f>65+11+9</f>
        <v>85</v>
      </c>
      <c r="M5" s="458">
        <f>2726.9+903.1+430.5</f>
        <v>4060.5</v>
      </c>
      <c r="N5" s="182">
        <f aca="true" t="shared" si="0" ref="N5:O8">SUM(B5,D5,F5,H5,J5,L5)</f>
        <v>244</v>
      </c>
      <c r="O5" s="489">
        <f t="shared" si="0"/>
        <v>46097.42999999999</v>
      </c>
    </row>
    <row r="6" spans="1:15" ht="19.5" customHeight="1">
      <c r="A6" s="10" t="s">
        <v>4</v>
      </c>
      <c r="B6" s="11">
        <f>ApIII!R7</f>
        <v>573</v>
      </c>
      <c r="C6" s="480">
        <f>ApIII!S7</f>
        <v>82565.97</v>
      </c>
      <c r="D6" s="12">
        <f>ApVII!X6</f>
        <v>11</v>
      </c>
      <c r="E6" s="485">
        <f>ApVII!Y6</f>
        <v>1649</v>
      </c>
      <c r="F6" s="11">
        <f>ApX!R6</f>
        <v>5</v>
      </c>
      <c r="G6" s="416">
        <f>ApX!S6</f>
        <v>672.2</v>
      </c>
      <c r="H6" s="11" t="s">
        <v>3</v>
      </c>
      <c r="I6" s="480" t="s">
        <v>3</v>
      </c>
      <c r="J6" s="13">
        <f>ApXII!T6</f>
        <v>49</v>
      </c>
      <c r="K6" s="480">
        <f>ApXII!U6</f>
        <v>3720.2</v>
      </c>
      <c r="L6" s="12">
        <f>69+12+6</f>
        <v>87</v>
      </c>
      <c r="M6" s="458">
        <f>9330.4+993.7+372.6</f>
        <v>10696.7</v>
      </c>
      <c r="N6" s="182">
        <f t="shared" si="0"/>
        <v>725</v>
      </c>
      <c r="O6" s="489">
        <f t="shared" si="0"/>
        <v>99304.06999999999</v>
      </c>
    </row>
    <row r="7" spans="1:15" ht="19.5" customHeight="1">
      <c r="A7" s="10" t="s">
        <v>5</v>
      </c>
      <c r="B7" s="11">
        <f>ApIII!R8</f>
        <v>45</v>
      </c>
      <c r="C7" s="480">
        <f>ApIII!S8</f>
        <v>21590.199999999997</v>
      </c>
      <c r="D7" s="12">
        <f>ApVII!X7</f>
        <v>23</v>
      </c>
      <c r="E7" s="485">
        <f>ApVII!Y7</f>
        <v>3079.2999999999997</v>
      </c>
      <c r="F7" s="11">
        <f>ApX!R7</f>
        <v>16</v>
      </c>
      <c r="G7" s="416">
        <f>ApX!S7</f>
        <v>1770.9</v>
      </c>
      <c r="H7" s="11" t="s">
        <v>3</v>
      </c>
      <c r="I7" s="480" t="s">
        <v>3</v>
      </c>
      <c r="J7" s="13">
        <f>ApXII!T7</f>
        <v>45</v>
      </c>
      <c r="K7" s="480">
        <f>ApXII!U7</f>
        <v>2764.7000000000003</v>
      </c>
      <c r="L7" s="12">
        <f>41+9+10+7</f>
        <v>67</v>
      </c>
      <c r="M7" s="458">
        <f>6530.1+691.9+456.2+672.5</f>
        <v>8350.7</v>
      </c>
      <c r="N7" s="182">
        <f t="shared" si="0"/>
        <v>196</v>
      </c>
      <c r="O7" s="489">
        <f t="shared" si="0"/>
        <v>37555.8</v>
      </c>
    </row>
    <row r="8" spans="1:15" ht="19.5" customHeight="1">
      <c r="A8" s="10" t="s">
        <v>6</v>
      </c>
      <c r="B8" s="11">
        <f>ApIII!R9</f>
        <v>51</v>
      </c>
      <c r="C8" s="480">
        <f>ApIII!S9</f>
        <v>6764.900000000001</v>
      </c>
      <c r="D8" s="12">
        <f>ApVII!X8</f>
        <v>5</v>
      </c>
      <c r="E8" s="485">
        <f>ApVII!Y8</f>
        <v>452.30000000000007</v>
      </c>
      <c r="F8" s="11">
        <f>ApX!R8</f>
        <v>4</v>
      </c>
      <c r="G8" s="416">
        <f>ApX!S8</f>
        <v>573.6</v>
      </c>
      <c r="H8" s="11" t="s">
        <v>3</v>
      </c>
      <c r="I8" s="480" t="s">
        <v>3</v>
      </c>
      <c r="J8" s="13">
        <f>ApXII!T8</f>
        <v>36</v>
      </c>
      <c r="K8" s="480">
        <f>ApXII!U8</f>
        <v>2788.2</v>
      </c>
      <c r="L8" s="12">
        <f>33+7+9</f>
        <v>49</v>
      </c>
      <c r="M8" s="458">
        <f>5462.5+488.1+409.8</f>
        <v>6360.400000000001</v>
      </c>
      <c r="N8" s="182">
        <f t="shared" si="0"/>
        <v>145</v>
      </c>
      <c r="O8" s="489">
        <f t="shared" si="0"/>
        <v>16939.4</v>
      </c>
    </row>
    <row r="9" spans="1:15" ht="21.75" customHeight="1">
      <c r="A9" s="527" t="s">
        <v>492</v>
      </c>
      <c r="B9" s="528"/>
      <c r="C9" s="529"/>
      <c r="D9" s="530"/>
      <c r="E9" s="529"/>
      <c r="F9" s="528"/>
      <c r="G9" s="531"/>
      <c r="H9" s="530"/>
      <c r="I9" s="529"/>
      <c r="J9" s="532"/>
      <c r="K9" s="529"/>
      <c r="L9" s="530"/>
      <c r="M9" s="530"/>
      <c r="N9" s="533"/>
      <c r="O9" s="534"/>
    </row>
    <row r="10" spans="1:15" ht="19.5" customHeight="1">
      <c r="A10" s="10" t="s">
        <v>145</v>
      </c>
      <c r="B10" s="11" t="s">
        <v>3</v>
      </c>
      <c r="C10" s="11" t="s">
        <v>3</v>
      </c>
      <c r="D10" s="11"/>
      <c r="E10" s="480" t="s">
        <v>3</v>
      </c>
      <c r="F10" s="15"/>
      <c r="G10" s="480"/>
      <c r="H10" s="11" t="s">
        <v>3</v>
      </c>
      <c r="I10" s="11" t="s">
        <v>3</v>
      </c>
      <c r="J10" s="11">
        <f>ApXII!T10</f>
        <v>1</v>
      </c>
      <c r="K10" s="416">
        <f>ApXII!U10</f>
        <v>85.3</v>
      </c>
      <c r="L10" s="11"/>
      <c r="M10" s="416"/>
      <c r="N10" s="182">
        <f>SUM(B10,D10,F10,H10,J10,L10)</f>
        <v>1</v>
      </c>
      <c r="O10" s="489">
        <f>SUM(C10,E10,G10,I10,K10,M10)</f>
        <v>85.3</v>
      </c>
    </row>
    <row r="11" spans="1:15" ht="19.5" customHeight="1">
      <c r="A11" s="10" t="s">
        <v>7</v>
      </c>
      <c r="B11" s="11">
        <f>ApIII!R11</f>
        <v>19</v>
      </c>
      <c r="C11" s="480">
        <f>ApIII!S11</f>
        <v>674.63</v>
      </c>
      <c r="D11" s="12">
        <f>ApVII!X10</f>
        <v>1</v>
      </c>
      <c r="E11" s="485">
        <f>ApVII!Y10</f>
        <v>73.2</v>
      </c>
      <c r="F11" s="15">
        <f>ApX!R10</f>
        <v>4</v>
      </c>
      <c r="G11" s="1022">
        <f>ApX!S10</f>
        <v>358.9</v>
      </c>
      <c r="H11" s="11" t="s">
        <v>3</v>
      </c>
      <c r="I11" s="480" t="s">
        <v>3</v>
      </c>
      <c r="J11" s="11">
        <f>ApXII!T11</f>
        <v>1</v>
      </c>
      <c r="K11" s="416">
        <f>ApXII!U11</f>
        <v>82.6</v>
      </c>
      <c r="L11" s="11"/>
      <c r="M11" s="416"/>
      <c r="N11" s="182">
        <f aca="true" t="shared" si="1" ref="N11:O13">SUM(B11,D11,F11,H11,J11,L11)</f>
        <v>25</v>
      </c>
      <c r="O11" s="489">
        <f t="shared" si="1"/>
        <v>1189.33</v>
      </c>
    </row>
    <row r="12" spans="1:15" ht="19.5" customHeight="1">
      <c r="A12" s="10" t="s">
        <v>8</v>
      </c>
      <c r="B12" s="11" t="s">
        <v>3</v>
      </c>
      <c r="C12" s="11" t="s">
        <v>3</v>
      </c>
      <c r="D12" s="11"/>
      <c r="E12" s="480" t="s">
        <v>3</v>
      </c>
      <c r="F12" s="15">
        <f>ApX!R11</f>
        <v>5</v>
      </c>
      <c r="G12" s="1022">
        <f>ApX!S11</f>
        <v>421.70000000000005</v>
      </c>
      <c r="H12" s="11" t="s">
        <v>3</v>
      </c>
      <c r="I12" s="480" t="s">
        <v>3</v>
      </c>
      <c r="J12" s="11">
        <f>ApXII!T12</f>
        <v>5</v>
      </c>
      <c r="K12" s="416">
        <f>ApXII!U12</f>
        <v>477.29999999999995</v>
      </c>
      <c r="L12" s="11">
        <v>12</v>
      </c>
      <c r="M12" s="416">
        <v>125.2</v>
      </c>
      <c r="N12" s="182">
        <f t="shared" si="1"/>
        <v>22</v>
      </c>
      <c r="O12" s="489">
        <f t="shared" si="1"/>
        <v>1024.2</v>
      </c>
    </row>
    <row r="13" spans="1:15" ht="19.5" customHeight="1">
      <c r="A13" s="10" t="s">
        <v>9</v>
      </c>
      <c r="B13" s="11">
        <f>ApVII!V11</f>
        <v>0</v>
      </c>
      <c r="C13" s="11">
        <f>ApVII!W11</f>
        <v>0</v>
      </c>
      <c r="D13" s="11">
        <f>ApVII!X11</f>
        <v>1</v>
      </c>
      <c r="E13" s="480">
        <f>ApVII!Y11</f>
        <v>209.6</v>
      </c>
      <c r="F13" s="15">
        <f>ApX!R12</f>
        <v>11</v>
      </c>
      <c r="G13" s="1022">
        <f>ApX!S12</f>
        <v>1105.9</v>
      </c>
      <c r="H13" s="11" t="s">
        <v>3</v>
      </c>
      <c r="I13" s="480" t="s">
        <v>3</v>
      </c>
      <c r="J13" s="11">
        <f>ApXII!T13</f>
        <v>6</v>
      </c>
      <c r="K13" s="416">
        <f>ApXII!U13</f>
        <v>633.2</v>
      </c>
      <c r="L13" s="11"/>
      <c r="M13" s="416"/>
      <c r="N13" s="182">
        <f t="shared" si="1"/>
        <v>18</v>
      </c>
      <c r="O13" s="489">
        <f t="shared" si="1"/>
        <v>1948.7</v>
      </c>
    </row>
    <row r="14" spans="1:15" ht="19.5" customHeight="1">
      <c r="A14" s="16" t="s">
        <v>10</v>
      </c>
      <c r="B14" s="17">
        <f>ApIII!R12</f>
        <v>45</v>
      </c>
      <c r="C14" s="519">
        <f>ApIII!S12</f>
        <v>5891.6</v>
      </c>
      <c r="D14" s="17">
        <f>ApVII!X12</f>
        <v>2</v>
      </c>
      <c r="E14" s="481">
        <f>ApVII!Y12</f>
        <v>311.7</v>
      </c>
      <c r="F14" s="18">
        <f>ApX!R13</f>
        <v>5</v>
      </c>
      <c r="G14" s="1023">
        <f>ApX!S13</f>
        <v>662.9</v>
      </c>
      <c r="H14" s="17" t="s">
        <v>3</v>
      </c>
      <c r="I14" s="481" t="s">
        <v>3</v>
      </c>
      <c r="J14" s="287">
        <f>ApXII!T14</f>
        <v>2</v>
      </c>
      <c r="K14" s="481">
        <f>ApXII!U14</f>
        <v>215.2</v>
      </c>
      <c r="L14" s="17"/>
      <c r="M14" s="519"/>
      <c r="N14" s="183">
        <f>SUM(B14,D14,F14,H14,J14,L14)</f>
        <v>54</v>
      </c>
      <c r="O14" s="490">
        <f>SUM(C14,E14,G14,I14,K14,M14)</f>
        <v>7081.4</v>
      </c>
    </row>
    <row r="15" spans="1:15" ht="21.75" customHeight="1">
      <c r="A15" s="520" t="s">
        <v>493</v>
      </c>
      <c r="B15" s="524"/>
      <c r="C15" s="522"/>
      <c r="D15" s="535"/>
      <c r="E15" s="525"/>
      <c r="F15" s="524"/>
      <c r="G15" s="525"/>
      <c r="H15" s="526"/>
      <c r="I15" s="522"/>
      <c r="J15" s="521"/>
      <c r="K15" s="522"/>
      <c r="L15" s="526"/>
      <c r="M15" s="526"/>
      <c r="N15" s="536"/>
      <c r="O15" s="537"/>
    </row>
    <row r="16" spans="1:15" ht="19.5" customHeight="1">
      <c r="A16" s="10" t="s">
        <v>11</v>
      </c>
      <c r="B16" s="11">
        <f>ApIII!R14</f>
        <v>1</v>
      </c>
      <c r="C16" s="416">
        <f>ApIII!S14</f>
        <v>105.7</v>
      </c>
      <c r="D16" s="11"/>
      <c r="E16" s="480" t="s">
        <v>3</v>
      </c>
      <c r="F16" s="11">
        <f>ApX!R15</f>
        <v>6</v>
      </c>
      <c r="G16" s="416">
        <f>ApX!S15</f>
        <v>792.2</v>
      </c>
      <c r="H16" s="11">
        <f>ApIX!J23+ApVIII!R6</f>
        <v>75</v>
      </c>
      <c r="I16" s="480">
        <f>ApIX!K23+ApVIII!S6</f>
        <v>3965.3900000000012</v>
      </c>
      <c r="J16" s="13"/>
      <c r="K16" s="480"/>
      <c r="L16" s="11">
        <v>1</v>
      </c>
      <c r="M16" s="416">
        <v>3.8</v>
      </c>
      <c r="N16" s="182">
        <f aca="true" t="shared" si="2" ref="N16:O18">SUM(B16,D16,F16,H16,J16,L16)</f>
        <v>83</v>
      </c>
      <c r="O16" s="489">
        <f t="shared" si="2"/>
        <v>4867.090000000001</v>
      </c>
    </row>
    <row r="17" spans="1:20" s="285" customFormat="1" ht="19.5" customHeight="1">
      <c r="A17" s="10" t="s">
        <v>420</v>
      </c>
      <c r="B17" s="11">
        <f>ApIII!R15</f>
        <v>1</v>
      </c>
      <c r="C17" s="416">
        <f>ApIII!S15</f>
        <v>97.3</v>
      </c>
      <c r="D17" s="11"/>
      <c r="E17" s="480">
        <f>ApVII!Y13</f>
        <v>0</v>
      </c>
      <c r="F17" s="11"/>
      <c r="G17" s="416"/>
      <c r="H17" s="11" t="s">
        <v>3</v>
      </c>
      <c r="I17" s="480" t="s">
        <v>3</v>
      </c>
      <c r="J17" s="13"/>
      <c r="K17" s="480">
        <f>ApXII!U15</f>
        <v>0</v>
      </c>
      <c r="L17" s="11" t="s">
        <v>3</v>
      </c>
      <c r="M17" s="11" t="s">
        <v>3</v>
      </c>
      <c r="N17" s="182">
        <f t="shared" si="2"/>
        <v>1</v>
      </c>
      <c r="O17" s="489">
        <f t="shared" si="2"/>
        <v>97.3</v>
      </c>
      <c r="P17" s="230"/>
      <c r="Q17" s="230"/>
      <c r="R17" s="230"/>
      <c r="S17" s="230"/>
      <c r="T17" s="230"/>
    </row>
    <row r="18" spans="1:20" s="288" customFormat="1" ht="19.5" customHeight="1">
      <c r="A18" s="16" t="s">
        <v>12</v>
      </c>
      <c r="B18" s="17">
        <f>ApIII!R16</f>
        <v>43</v>
      </c>
      <c r="C18" s="519">
        <f>ApIII!S16</f>
        <v>5377</v>
      </c>
      <c r="D18" s="17">
        <f>ApVII!X14</f>
        <v>3</v>
      </c>
      <c r="E18" s="481">
        <f>ApVII!Y14</f>
        <v>540.8</v>
      </c>
      <c r="F18" s="17">
        <f>ApX!R16</f>
        <v>8</v>
      </c>
      <c r="G18" s="519">
        <f>ApX!S16</f>
        <v>1308.5</v>
      </c>
      <c r="H18" s="17" t="s">
        <v>3</v>
      </c>
      <c r="I18" s="481" t="s">
        <v>3</v>
      </c>
      <c r="J18" s="287">
        <f>ApXII!T16</f>
        <v>3</v>
      </c>
      <c r="K18" s="481">
        <f>ApXII!U16</f>
        <v>317.9</v>
      </c>
      <c r="L18" s="17">
        <v>1</v>
      </c>
      <c r="M18" s="17">
        <v>104.7</v>
      </c>
      <c r="N18" s="183">
        <f t="shared" si="2"/>
        <v>58</v>
      </c>
      <c r="O18" s="490">
        <f t="shared" si="2"/>
        <v>7648.9</v>
      </c>
      <c r="P18" s="281"/>
      <c r="Q18" s="281"/>
      <c r="R18" s="281"/>
      <c r="S18" s="281"/>
      <c r="T18" s="281"/>
    </row>
    <row r="19" spans="1:15" ht="21.75" customHeight="1">
      <c r="A19" s="538" t="s">
        <v>494</v>
      </c>
      <c r="B19" s="524"/>
      <c r="C19" s="522"/>
      <c r="D19" s="526"/>
      <c r="E19" s="522"/>
      <c r="F19" s="524"/>
      <c r="G19" s="525"/>
      <c r="H19" s="526"/>
      <c r="I19" s="522"/>
      <c r="J19" s="539"/>
      <c r="K19" s="522"/>
      <c r="L19" s="526"/>
      <c r="M19" s="526"/>
      <c r="N19" s="536"/>
      <c r="O19" s="537"/>
    </row>
    <row r="20" spans="1:15" ht="19.5" customHeight="1">
      <c r="A20" s="10" t="s">
        <v>13</v>
      </c>
      <c r="B20" s="11" t="s">
        <v>3</v>
      </c>
      <c r="C20" s="480"/>
      <c r="D20" s="11"/>
      <c r="E20" s="480" t="s">
        <v>3</v>
      </c>
      <c r="F20" s="11">
        <f>ApX!R18</f>
        <v>3</v>
      </c>
      <c r="G20" s="416">
        <f>ApX!S18</f>
        <v>315.3</v>
      </c>
      <c r="H20" s="11" t="s">
        <v>3</v>
      </c>
      <c r="I20" s="480" t="s">
        <v>3</v>
      </c>
      <c r="J20" s="11">
        <f>ApXII!T18</f>
        <v>4</v>
      </c>
      <c r="K20" s="416">
        <f>ApXII!U18</f>
        <v>338.2</v>
      </c>
      <c r="L20" s="11" t="s">
        <v>3</v>
      </c>
      <c r="M20" s="11" t="s">
        <v>3</v>
      </c>
      <c r="N20" s="182">
        <f aca="true" t="shared" si="3" ref="N20:N34">SUM(B20,D20,F20,H20,J20,L20)</f>
        <v>7</v>
      </c>
      <c r="O20" s="489">
        <f aca="true" t="shared" si="4" ref="O20:O34">SUM(C20,E20,G20,I20,K20,M20)</f>
        <v>653.5</v>
      </c>
    </row>
    <row r="21" spans="1:15" ht="19.5" customHeight="1">
      <c r="A21" s="10" t="s">
        <v>14</v>
      </c>
      <c r="B21" s="11"/>
      <c r="C21" s="480"/>
      <c r="D21" s="11">
        <f>ApVII!X16</f>
        <v>10</v>
      </c>
      <c r="E21" s="480">
        <f>ApVII!Y16</f>
        <v>1831.9</v>
      </c>
      <c r="F21" s="11">
        <f>ApX!R19</f>
        <v>3</v>
      </c>
      <c r="G21" s="416">
        <f>ApX!S19</f>
        <v>321.8</v>
      </c>
      <c r="H21" s="11" t="s">
        <v>3</v>
      </c>
      <c r="I21" s="480" t="s">
        <v>3</v>
      </c>
      <c r="J21" s="13">
        <f>ApXII!T19</f>
        <v>8</v>
      </c>
      <c r="K21" s="480">
        <f>ApXII!U19</f>
        <v>658.2</v>
      </c>
      <c r="L21" s="11">
        <v>1</v>
      </c>
      <c r="M21" s="416">
        <v>106.5</v>
      </c>
      <c r="N21" s="182">
        <f>SUM(B21,D21,F21,H21,J21,L21)</f>
        <v>22</v>
      </c>
      <c r="O21" s="489">
        <f t="shared" si="4"/>
        <v>2918.4000000000005</v>
      </c>
    </row>
    <row r="22" spans="1:15" ht="19.5" customHeight="1">
      <c r="A22" s="10" t="s">
        <v>422</v>
      </c>
      <c r="B22" s="11">
        <f>ApIII!R18</f>
        <v>1</v>
      </c>
      <c r="C22" s="480">
        <f>ApIII!S18</f>
        <v>69.1</v>
      </c>
      <c r="D22" s="11"/>
      <c r="E22" s="480"/>
      <c r="F22" s="11"/>
      <c r="G22" s="416"/>
      <c r="H22" s="11" t="s">
        <v>3</v>
      </c>
      <c r="I22" s="480" t="s">
        <v>3</v>
      </c>
      <c r="J22" s="13"/>
      <c r="K22" s="480"/>
      <c r="L22" s="11"/>
      <c r="M22" s="416"/>
      <c r="N22" s="182">
        <f>SUM(B22,D22,F22,H22,J22,L22)</f>
        <v>1</v>
      </c>
      <c r="O22" s="489">
        <f>SUM(C22,E22,G22,I22,K22,M22)</f>
        <v>69.1</v>
      </c>
    </row>
    <row r="23" spans="1:15" ht="19.5" customHeight="1">
      <c r="A23" s="10" t="s">
        <v>15</v>
      </c>
      <c r="B23" s="11">
        <f>ApIII!R19</f>
        <v>113</v>
      </c>
      <c r="C23" s="480">
        <f>ApIII!S19</f>
        <v>25898.16</v>
      </c>
      <c r="D23" s="11">
        <f>ApVII!X17</f>
        <v>7</v>
      </c>
      <c r="E23" s="480">
        <f>ApVII!Y17</f>
        <v>1244.3</v>
      </c>
      <c r="F23" s="11">
        <f>ApX!R20</f>
        <v>2</v>
      </c>
      <c r="G23" s="416">
        <f>ApX!S20</f>
        <v>152.9</v>
      </c>
      <c r="H23" s="11" t="s">
        <v>3</v>
      </c>
      <c r="I23" s="480" t="s">
        <v>3</v>
      </c>
      <c r="J23" s="13">
        <f>ApXII!T20</f>
        <v>4</v>
      </c>
      <c r="K23" s="480">
        <f>ApXII!U20</f>
        <v>225.4</v>
      </c>
      <c r="L23" s="11">
        <v>4</v>
      </c>
      <c r="M23" s="416">
        <v>474.6</v>
      </c>
      <c r="N23" s="182">
        <f t="shared" si="3"/>
        <v>130</v>
      </c>
      <c r="O23" s="489">
        <f t="shared" si="4"/>
        <v>27995.36</v>
      </c>
    </row>
    <row r="24" spans="1:15" ht="19.5" customHeight="1">
      <c r="A24" s="10" t="s">
        <v>16</v>
      </c>
      <c r="B24" s="11">
        <f>ApIII!R20</f>
        <v>1</v>
      </c>
      <c r="C24" s="480">
        <f>ApIII!S20</f>
        <v>96.5</v>
      </c>
      <c r="D24" s="11"/>
      <c r="E24" s="480" t="s">
        <v>3</v>
      </c>
      <c r="F24" s="11" t="s">
        <v>3</v>
      </c>
      <c r="G24" s="480" t="s">
        <v>3</v>
      </c>
      <c r="H24" s="11" t="s">
        <v>3</v>
      </c>
      <c r="I24" s="480" t="s">
        <v>3</v>
      </c>
      <c r="J24" s="13">
        <f>ApXII!T21</f>
        <v>2</v>
      </c>
      <c r="K24" s="480">
        <f>ApXII!U21</f>
        <v>213</v>
      </c>
      <c r="L24" s="11">
        <v>4</v>
      </c>
      <c r="M24" s="416">
        <v>445.9</v>
      </c>
      <c r="N24" s="182">
        <f t="shared" si="3"/>
        <v>7</v>
      </c>
      <c r="O24" s="489">
        <f t="shared" si="4"/>
        <v>755.4</v>
      </c>
    </row>
    <row r="25" spans="1:15" ht="19.5" customHeight="1">
      <c r="A25" s="10" t="s">
        <v>17</v>
      </c>
      <c r="B25" s="11">
        <f>ApIII!R21</f>
        <v>6</v>
      </c>
      <c r="C25" s="480">
        <f>ApIII!S21</f>
        <v>150.2</v>
      </c>
      <c r="D25" s="11"/>
      <c r="E25" s="480" t="s">
        <v>3</v>
      </c>
      <c r="F25" s="11" t="s">
        <v>3</v>
      </c>
      <c r="G25" s="480" t="s">
        <v>3</v>
      </c>
      <c r="H25" s="11" t="s">
        <v>3</v>
      </c>
      <c r="I25" s="480" t="s">
        <v>3</v>
      </c>
      <c r="J25" s="13">
        <f>ApXII!T22</f>
        <v>4</v>
      </c>
      <c r="K25" s="480">
        <f>ApXII!U22</f>
        <v>338.8</v>
      </c>
      <c r="L25" s="11"/>
      <c r="M25" s="11"/>
      <c r="N25" s="182">
        <f>SUM(B25,D25,F25,H25,J25,L25)</f>
        <v>10</v>
      </c>
      <c r="O25" s="489">
        <f>SUM(C25,E25,G25,I25,K25,M25)</f>
        <v>489</v>
      </c>
    </row>
    <row r="26" spans="1:15" ht="19.5" customHeight="1">
      <c r="A26" s="10" t="s">
        <v>423</v>
      </c>
      <c r="B26" s="11">
        <f>ApIII!R22</f>
        <v>1</v>
      </c>
      <c r="C26" s="480">
        <f>ApIII!S22</f>
        <v>114.8</v>
      </c>
      <c r="D26" s="11"/>
      <c r="E26" s="480" t="s">
        <v>3</v>
      </c>
      <c r="F26" s="11" t="s">
        <v>3</v>
      </c>
      <c r="G26" s="480" t="s">
        <v>3</v>
      </c>
      <c r="H26" s="11" t="s">
        <v>3</v>
      </c>
      <c r="I26" s="480" t="s">
        <v>3</v>
      </c>
      <c r="J26" s="13"/>
      <c r="K26" s="480"/>
      <c r="L26" s="11"/>
      <c r="M26" s="11"/>
      <c r="N26" s="182">
        <f t="shared" si="3"/>
        <v>1</v>
      </c>
      <c r="O26" s="489">
        <f t="shared" si="4"/>
        <v>114.8</v>
      </c>
    </row>
    <row r="27" spans="1:15" ht="19.5" customHeight="1">
      <c r="A27" s="10" t="s">
        <v>227</v>
      </c>
      <c r="B27" s="11">
        <f>ApIII!R23</f>
        <v>1</v>
      </c>
      <c r="C27" s="480">
        <f>ApIII!S23</f>
        <v>124.5</v>
      </c>
      <c r="D27" s="11"/>
      <c r="E27" s="480" t="s">
        <v>3</v>
      </c>
      <c r="F27" s="11" t="s">
        <v>3</v>
      </c>
      <c r="G27" s="480" t="s">
        <v>3</v>
      </c>
      <c r="H27" s="11" t="s">
        <v>3</v>
      </c>
      <c r="I27" s="480" t="s">
        <v>3</v>
      </c>
      <c r="J27" s="13"/>
      <c r="K27" s="480"/>
      <c r="L27" s="11"/>
      <c r="M27" s="11"/>
      <c r="N27" s="182">
        <f>SUM(B27,D27,F27,H27,J27,L27)</f>
        <v>1</v>
      </c>
      <c r="O27" s="489">
        <f t="shared" si="4"/>
        <v>124.5</v>
      </c>
    </row>
    <row r="28" spans="1:15" ht="19.5" customHeight="1">
      <c r="A28" s="10" t="s">
        <v>18</v>
      </c>
      <c r="B28" s="11">
        <f>ApIII!R24</f>
        <v>1</v>
      </c>
      <c r="C28" s="480">
        <f>ApIII!S24</f>
        <v>113.8</v>
      </c>
      <c r="D28" s="11"/>
      <c r="E28" s="480" t="s">
        <v>3</v>
      </c>
      <c r="F28" s="15">
        <f>ApX!R21</f>
        <v>7</v>
      </c>
      <c r="G28" s="1022">
        <f>ApX!S21</f>
        <v>897.6000000000001</v>
      </c>
      <c r="H28" s="11" t="s">
        <v>3</v>
      </c>
      <c r="I28" s="480" t="s">
        <v>3</v>
      </c>
      <c r="J28" s="11"/>
      <c r="K28" s="416"/>
      <c r="L28" s="11" t="s">
        <v>3</v>
      </c>
      <c r="M28" s="11" t="s">
        <v>3</v>
      </c>
      <c r="N28" s="182">
        <f t="shared" si="3"/>
        <v>8</v>
      </c>
      <c r="O28" s="489">
        <f t="shared" si="4"/>
        <v>1011.4000000000001</v>
      </c>
    </row>
    <row r="29" spans="1:15" ht="19.5" customHeight="1">
      <c r="A29" s="10" t="s">
        <v>19</v>
      </c>
      <c r="B29" s="11">
        <f>ApIII!R25</f>
        <v>5</v>
      </c>
      <c r="C29" s="480">
        <f>ApIII!S25</f>
        <v>558.14</v>
      </c>
      <c r="D29" s="11">
        <f>ApVII!X18</f>
        <v>9</v>
      </c>
      <c r="E29" s="480">
        <f>ApVII!Y18</f>
        <v>1248.4</v>
      </c>
      <c r="F29" s="15">
        <f>ApX!R22</f>
        <v>6</v>
      </c>
      <c r="G29" s="1022">
        <f>ApX!S22</f>
        <v>901</v>
      </c>
      <c r="H29" s="11" t="s">
        <v>3</v>
      </c>
      <c r="I29" s="480" t="s">
        <v>3</v>
      </c>
      <c r="J29" s="11">
        <f>ApXII!T23</f>
        <v>3</v>
      </c>
      <c r="K29" s="480">
        <f>ApXII!U23</f>
        <v>249.4</v>
      </c>
      <c r="L29" s="11"/>
      <c r="M29" s="416"/>
      <c r="N29" s="182">
        <f t="shared" si="3"/>
        <v>23</v>
      </c>
      <c r="O29" s="489">
        <f t="shared" si="4"/>
        <v>2956.94</v>
      </c>
    </row>
    <row r="30" spans="1:15" ht="19.5" customHeight="1">
      <c r="A30" s="10" t="s">
        <v>20</v>
      </c>
      <c r="B30" s="11">
        <f>ApIII!R26</f>
        <v>7</v>
      </c>
      <c r="C30" s="480">
        <f>ApIII!S26</f>
        <v>1110.8000000000002</v>
      </c>
      <c r="D30" s="11">
        <f>ApVII!X19</f>
        <v>15</v>
      </c>
      <c r="E30" s="480">
        <f>ApVII!Y19</f>
        <v>2249.6</v>
      </c>
      <c r="F30" s="15">
        <f>ApX!R23</f>
        <v>9</v>
      </c>
      <c r="G30" s="1022">
        <f>ApX!S23</f>
        <v>932.5000000000001</v>
      </c>
      <c r="H30" s="11" t="s">
        <v>3</v>
      </c>
      <c r="I30" s="480" t="s">
        <v>3</v>
      </c>
      <c r="J30" s="13">
        <f>ApXII!T24</f>
        <v>2</v>
      </c>
      <c r="K30" s="480">
        <f>ApXII!U24</f>
        <v>209.2</v>
      </c>
      <c r="L30" s="11">
        <v>6</v>
      </c>
      <c r="M30" s="416">
        <v>654.3</v>
      </c>
      <c r="N30" s="182">
        <f t="shared" si="3"/>
        <v>39</v>
      </c>
      <c r="O30" s="489">
        <f t="shared" si="4"/>
        <v>5156.400000000001</v>
      </c>
    </row>
    <row r="31" spans="1:15" ht="19.5" customHeight="1">
      <c r="A31" s="10" t="s">
        <v>21</v>
      </c>
      <c r="B31" s="11">
        <f>ApIII!R27</f>
        <v>1</v>
      </c>
      <c r="C31" s="480">
        <f>ApIII!S27</f>
        <v>101.9</v>
      </c>
      <c r="D31" s="11">
        <f>ApVII!X20</f>
        <v>7</v>
      </c>
      <c r="E31" s="480">
        <f>ApVII!Y20</f>
        <v>865.4000000000001</v>
      </c>
      <c r="F31" s="15">
        <f>ApX!R24</f>
        <v>7</v>
      </c>
      <c r="G31" s="1022">
        <f>ApX!S24</f>
        <v>879.7</v>
      </c>
      <c r="H31" s="11" t="s">
        <v>3</v>
      </c>
      <c r="I31" s="480" t="s">
        <v>3</v>
      </c>
      <c r="J31" s="11">
        <f>ApXII!T25</f>
        <v>3</v>
      </c>
      <c r="K31" s="480">
        <f>ApXII!U25</f>
        <v>250.7</v>
      </c>
      <c r="L31" s="11"/>
      <c r="M31" s="11"/>
      <c r="N31" s="587">
        <f>SUM(B31,D31,F31,H31,J31,L31)</f>
        <v>18</v>
      </c>
      <c r="O31" s="489">
        <f t="shared" si="4"/>
        <v>2097.7</v>
      </c>
    </row>
    <row r="32" spans="1:15" ht="19.5" customHeight="1">
      <c r="A32" s="10" t="s">
        <v>426</v>
      </c>
      <c r="B32" s="11">
        <f>ApIII!R28</f>
        <v>6</v>
      </c>
      <c r="C32" s="480">
        <f>ApIII!S28</f>
        <v>643.7</v>
      </c>
      <c r="D32" s="11"/>
      <c r="E32" s="480"/>
      <c r="F32" s="15"/>
      <c r="G32" s="1022"/>
      <c r="H32" s="11"/>
      <c r="I32" s="480"/>
      <c r="J32" s="11"/>
      <c r="K32" s="480"/>
      <c r="L32" s="11">
        <v>6</v>
      </c>
      <c r="M32" s="11">
        <v>835.8</v>
      </c>
      <c r="N32" s="587">
        <f>SUM(B32,D32,F32,H32,J32,L32)</f>
        <v>12</v>
      </c>
      <c r="O32" s="489">
        <f>SUM(C32,E32,G32,I32,K32,M32)</f>
        <v>1479.5</v>
      </c>
    </row>
    <row r="33" spans="1:20" s="285" customFormat="1" ht="19.5" customHeight="1">
      <c r="A33" s="10" t="s">
        <v>22</v>
      </c>
      <c r="B33" s="11"/>
      <c r="C33" s="480"/>
      <c r="D33" s="12">
        <f>ApVII!X21</f>
        <v>13</v>
      </c>
      <c r="E33" s="458">
        <f>ApVII!Y21</f>
        <v>1617.7</v>
      </c>
      <c r="F33" s="15">
        <f>ApX!R25</f>
        <v>22</v>
      </c>
      <c r="G33" s="1022">
        <f>ApX!S25</f>
        <v>2434.5</v>
      </c>
      <c r="H33" s="11" t="s">
        <v>3</v>
      </c>
      <c r="I33" s="480" t="s">
        <v>3</v>
      </c>
      <c r="J33" s="13">
        <f>ApXII!T26</f>
        <v>11</v>
      </c>
      <c r="K33" s="480">
        <f>ApXII!U26</f>
        <v>843.3</v>
      </c>
      <c r="L33" s="11">
        <v>6</v>
      </c>
      <c r="M33" s="416">
        <v>620</v>
      </c>
      <c r="N33" s="182">
        <f>SUM(B33,D33,F33,H33,J33,L33)</f>
        <v>52</v>
      </c>
      <c r="O33" s="489">
        <f>SUM(C33,E33,G33,I33,K33,M33)</f>
        <v>5515.5</v>
      </c>
      <c r="P33" s="230"/>
      <c r="Q33" s="230"/>
      <c r="R33" s="230"/>
      <c r="S33" s="230"/>
      <c r="T33" s="230"/>
    </row>
    <row r="34" spans="1:20" s="288" customFormat="1" ht="19.5" customHeight="1">
      <c r="A34" s="16" t="s">
        <v>428</v>
      </c>
      <c r="B34" s="17">
        <f>ApIII!R29</f>
        <v>1</v>
      </c>
      <c r="C34" s="519">
        <f>ApIII!S29</f>
        <v>130.9</v>
      </c>
      <c r="D34" s="797"/>
      <c r="E34" s="798"/>
      <c r="F34" s="18"/>
      <c r="G34" s="1023"/>
      <c r="H34" s="17"/>
      <c r="I34" s="481"/>
      <c r="J34" s="287"/>
      <c r="K34" s="481"/>
      <c r="L34" s="17"/>
      <c r="M34" s="519"/>
      <c r="N34" s="183">
        <f t="shared" si="3"/>
        <v>1</v>
      </c>
      <c r="O34" s="490">
        <f t="shared" si="4"/>
        <v>130.9</v>
      </c>
      <c r="P34" s="281"/>
      <c r="Q34" s="281"/>
      <c r="R34" s="281"/>
      <c r="S34" s="281"/>
      <c r="T34" s="281"/>
    </row>
    <row r="35" spans="1:15" ht="21.75" customHeight="1">
      <c r="A35" s="520" t="s">
        <v>495</v>
      </c>
      <c r="B35" s="535"/>
      <c r="C35" s="522"/>
      <c r="D35" s="526"/>
      <c r="E35" s="522"/>
      <c r="F35" s="524"/>
      <c r="G35" s="525"/>
      <c r="H35" s="526"/>
      <c r="I35" s="522"/>
      <c r="J35" s="521"/>
      <c r="K35" s="522"/>
      <c r="L35" s="526"/>
      <c r="M35" s="526"/>
      <c r="N35" s="536"/>
      <c r="O35" s="537"/>
    </row>
    <row r="36" spans="1:15" ht="21.75" customHeight="1">
      <c r="A36" s="10" t="s">
        <v>195</v>
      </c>
      <c r="B36" s="11" t="s">
        <v>3</v>
      </c>
      <c r="C36" s="480" t="s">
        <v>3</v>
      </c>
      <c r="D36" s="11"/>
      <c r="E36" s="480">
        <f>ApVII!Y22</f>
        <v>0</v>
      </c>
      <c r="F36" s="11">
        <f>ApX!R27</f>
        <v>5</v>
      </c>
      <c r="G36" s="416">
        <f>ApX!S27</f>
        <v>903.8</v>
      </c>
      <c r="H36" s="11" t="s">
        <v>3</v>
      </c>
      <c r="I36" s="480" t="s">
        <v>3</v>
      </c>
      <c r="J36" s="11"/>
      <c r="K36" s="480"/>
      <c r="L36" s="11" t="s">
        <v>3</v>
      </c>
      <c r="M36" s="11" t="s">
        <v>3</v>
      </c>
      <c r="N36" s="182">
        <f>SUM(B36,D36,F36,H36,J36,L36)</f>
        <v>5</v>
      </c>
      <c r="O36" s="489">
        <f>SUM(C36,E36,G36,I36,K36,M36)</f>
        <v>903.8</v>
      </c>
    </row>
    <row r="37" spans="1:15" ht="19.5" customHeight="1">
      <c r="A37" s="10" t="s">
        <v>110</v>
      </c>
      <c r="B37" s="11" t="s">
        <v>3</v>
      </c>
      <c r="C37" s="480" t="s">
        <v>3</v>
      </c>
      <c r="D37" s="11">
        <f>ApVII!X23</f>
        <v>5</v>
      </c>
      <c r="E37" s="480">
        <f>ApVII!Y23</f>
        <v>917.1</v>
      </c>
      <c r="F37" s="11">
        <f>ApX!R28</f>
        <v>3</v>
      </c>
      <c r="G37" s="416">
        <f>ApX!S28</f>
        <v>538.8</v>
      </c>
      <c r="H37" s="11" t="s">
        <v>3</v>
      </c>
      <c r="I37" s="480" t="s">
        <v>3</v>
      </c>
      <c r="J37" s="11">
        <f>ApXII!T28</f>
        <v>6</v>
      </c>
      <c r="K37" s="416">
        <f>ApXII!U28</f>
        <v>534</v>
      </c>
      <c r="L37" s="11" t="s">
        <v>3</v>
      </c>
      <c r="M37" s="11" t="s">
        <v>3</v>
      </c>
      <c r="N37" s="182">
        <f>SUM(B37,D37,F37,H37,J37,L37)</f>
        <v>14</v>
      </c>
      <c r="O37" s="489">
        <f aca="true" t="shared" si="5" ref="O37:O57">SUM(C37,E37,G37,I37,K37,M37)</f>
        <v>1989.9</v>
      </c>
    </row>
    <row r="38" spans="1:15" ht="19.5" customHeight="1">
      <c r="A38" s="10" t="s">
        <v>129</v>
      </c>
      <c r="B38" s="11" t="s">
        <v>3</v>
      </c>
      <c r="C38" s="480" t="s">
        <v>3</v>
      </c>
      <c r="D38" s="11"/>
      <c r="E38" s="480" t="s">
        <v>3</v>
      </c>
      <c r="F38" s="11">
        <f>ApX!R29</f>
        <v>3</v>
      </c>
      <c r="G38" s="416">
        <f>ApX!S29</f>
        <v>461.6</v>
      </c>
      <c r="H38" s="11" t="s">
        <v>3</v>
      </c>
      <c r="I38" s="480" t="s">
        <v>3</v>
      </c>
      <c r="J38" s="11" t="s">
        <v>3</v>
      </c>
      <c r="K38" s="480" t="s">
        <v>3</v>
      </c>
      <c r="L38" s="11" t="s">
        <v>3</v>
      </c>
      <c r="M38" s="11" t="s">
        <v>3</v>
      </c>
      <c r="N38" s="182">
        <f>SUM(B38,D38,F38,H38,J38,L38)</f>
        <v>3</v>
      </c>
      <c r="O38" s="489">
        <f>SUM(C38,E38,G38,I38,K38,M38)</f>
        <v>461.6</v>
      </c>
    </row>
    <row r="39" spans="1:15" ht="21.75">
      <c r="A39" s="10" t="s">
        <v>399</v>
      </c>
      <c r="B39" s="11" t="s">
        <v>3</v>
      </c>
      <c r="C39" s="480" t="s">
        <v>3</v>
      </c>
      <c r="D39" s="11"/>
      <c r="E39" s="480" t="s">
        <v>3</v>
      </c>
      <c r="F39" s="11">
        <f>ApX!R30</f>
        <v>3</v>
      </c>
      <c r="G39" s="416">
        <f>ApX!S30</f>
        <v>777.6</v>
      </c>
      <c r="H39" s="11" t="s">
        <v>3</v>
      </c>
      <c r="I39" s="480" t="s">
        <v>3</v>
      </c>
      <c r="J39" s="11" t="s">
        <v>3</v>
      </c>
      <c r="K39" s="480" t="s">
        <v>3</v>
      </c>
      <c r="L39" s="11" t="s">
        <v>3</v>
      </c>
      <c r="M39" s="11" t="s">
        <v>3</v>
      </c>
      <c r="N39" s="182">
        <f>SUM(B39,D39,F39,H39,J39,L39)</f>
        <v>3</v>
      </c>
      <c r="O39" s="489">
        <f>SUM(C39,E39,G39,I39,K39,M39)</f>
        <v>777.6</v>
      </c>
    </row>
    <row r="40" spans="1:15" ht="21.75" customHeight="1">
      <c r="A40" s="538" t="s">
        <v>496</v>
      </c>
      <c r="B40" s="540"/>
      <c r="C40" s="531"/>
      <c r="D40" s="540"/>
      <c r="E40" s="531"/>
      <c r="F40" s="528"/>
      <c r="G40" s="531"/>
      <c r="H40" s="530"/>
      <c r="I40" s="529"/>
      <c r="J40" s="541"/>
      <c r="K40" s="531"/>
      <c r="L40" s="540"/>
      <c r="M40" s="540"/>
      <c r="N40" s="533"/>
      <c r="O40" s="534"/>
    </row>
    <row r="41" spans="1:15" ht="19.5" customHeight="1">
      <c r="A41" s="10" t="s">
        <v>130</v>
      </c>
      <c r="B41" s="11">
        <f>ApIII!R31</f>
        <v>3</v>
      </c>
      <c r="C41" s="480">
        <f>ApIII!S31</f>
        <v>2218.5</v>
      </c>
      <c r="D41" s="11"/>
      <c r="E41" s="480" t="s">
        <v>3</v>
      </c>
      <c r="F41" s="11">
        <f>ApX!R32</f>
        <v>3</v>
      </c>
      <c r="G41" s="416">
        <f>ApX!S32</f>
        <v>356.4</v>
      </c>
      <c r="H41" s="11" t="s">
        <v>3</v>
      </c>
      <c r="I41" s="480" t="s">
        <v>3</v>
      </c>
      <c r="J41" s="11"/>
      <c r="K41" s="416"/>
      <c r="L41" s="11" t="s">
        <v>3</v>
      </c>
      <c r="M41" s="11" t="s">
        <v>3</v>
      </c>
      <c r="N41" s="182">
        <f aca="true" t="shared" si="6" ref="N41:N57">SUM(B41,D41,F41,H41,J41,L41)</f>
        <v>6</v>
      </c>
      <c r="O41" s="489">
        <f t="shared" si="5"/>
        <v>2574.9</v>
      </c>
    </row>
    <row r="42" spans="1:15" ht="19.5" customHeight="1">
      <c r="A42" s="10" t="s">
        <v>25</v>
      </c>
      <c r="B42" s="11"/>
      <c r="C42" s="480"/>
      <c r="D42" s="11"/>
      <c r="E42" s="480" t="s">
        <v>3</v>
      </c>
      <c r="F42" s="11">
        <f>ApX!P32</f>
        <v>0</v>
      </c>
      <c r="G42" s="480">
        <f>ApX!Q32</f>
        <v>0</v>
      </c>
      <c r="H42" s="11" t="s">
        <v>3</v>
      </c>
      <c r="I42" s="480" t="s">
        <v>3</v>
      </c>
      <c r="J42" s="11">
        <f>ApXII!T30</f>
        <v>2</v>
      </c>
      <c r="K42" s="416">
        <f>ApXII!U30</f>
        <v>181.8</v>
      </c>
      <c r="L42" s="11" t="s">
        <v>3</v>
      </c>
      <c r="M42" s="11" t="s">
        <v>3</v>
      </c>
      <c r="N42" s="182">
        <f t="shared" si="6"/>
        <v>2</v>
      </c>
      <c r="O42" s="489">
        <f t="shared" si="5"/>
        <v>181.8</v>
      </c>
    </row>
    <row r="43" spans="1:15" ht="19.5" customHeight="1">
      <c r="A43" s="10" t="s">
        <v>26</v>
      </c>
      <c r="B43" s="11">
        <f>ApIII!R32</f>
        <v>0</v>
      </c>
      <c r="C43" s="480">
        <f>ApIII!S32</f>
        <v>568.7</v>
      </c>
      <c r="D43" s="11"/>
      <c r="E43" s="480" t="s">
        <v>3</v>
      </c>
      <c r="F43" s="11">
        <f>ApX!R33</f>
        <v>3</v>
      </c>
      <c r="G43" s="416">
        <f>ApX!S33</f>
        <v>328</v>
      </c>
      <c r="H43" s="11" t="s">
        <v>3</v>
      </c>
      <c r="I43" s="480" t="s">
        <v>3</v>
      </c>
      <c r="J43" s="11" t="s">
        <v>3</v>
      </c>
      <c r="K43" s="480" t="s">
        <v>3</v>
      </c>
      <c r="L43" s="11" t="s">
        <v>3</v>
      </c>
      <c r="M43" s="11" t="s">
        <v>3</v>
      </c>
      <c r="N43" s="182">
        <f t="shared" si="6"/>
        <v>3</v>
      </c>
      <c r="O43" s="489">
        <f t="shared" si="5"/>
        <v>896.7</v>
      </c>
    </row>
    <row r="44" spans="1:15" ht="19.5" customHeight="1">
      <c r="A44" s="10" t="s">
        <v>27</v>
      </c>
      <c r="B44" s="11" t="s">
        <v>3</v>
      </c>
      <c r="C44" s="480" t="s">
        <v>3</v>
      </c>
      <c r="D44" s="11"/>
      <c r="E44" s="480" t="s">
        <v>3</v>
      </c>
      <c r="F44" s="11">
        <f>ApX!R34</f>
        <v>6</v>
      </c>
      <c r="G44" s="416">
        <f>ApX!S34</f>
        <v>796.1999999999999</v>
      </c>
      <c r="H44" s="11" t="s">
        <v>3</v>
      </c>
      <c r="I44" s="480" t="s">
        <v>3</v>
      </c>
      <c r="J44" s="11" t="s">
        <v>3</v>
      </c>
      <c r="K44" s="480" t="s">
        <v>3</v>
      </c>
      <c r="L44" s="11" t="s">
        <v>3</v>
      </c>
      <c r="M44" s="11" t="s">
        <v>3</v>
      </c>
      <c r="N44" s="182">
        <f t="shared" si="6"/>
        <v>6</v>
      </c>
      <c r="O44" s="489">
        <f t="shared" si="5"/>
        <v>796.1999999999999</v>
      </c>
    </row>
    <row r="45" spans="1:15" ht="19.5" customHeight="1">
      <c r="A45" s="10" t="s">
        <v>400</v>
      </c>
      <c r="B45" s="11" t="s">
        <v>3</v>
      </c>
      <c r="C45" s="480" t="s">
        <v>3</v>
      </c>
      <c r="D45" s="11">
        <f>ApVII!X25</f>
        <v>1</v>
      </c>
      <c r="E45" s="416">
        <f>ApVII!Y25</f>
        <v>109.1</v>
      </c>
      <c r="F45" s="11">
        <f>ApX!R35</f>
        <v>3</v>
      </c>
      <c r="G45" s="416">
        <f>ApX!S35</f>
        <v>538.3</v>
      </c>
      <c r="H45" s="11" t="s">
        <v>3</v>
      </c>
      <c r="I45" s="480" t="s">
        <v>3</v>
      </c>
      <c r="J45" s="11"/>
      <c r="K45" s="416"/>
      <c r="L45" s="11" t="s">
        <v>3</v>
      </c>
      <c r="M45" s="11" t="s">
        <v>3</v>
      </c>
      <c r="N45" s="182">
        <f aca="true" t="shared" si="7" ref="N45:O47">SUM(B45,D45,F45,H45,J45,L45)</f>
        <v>4</v>
      </c>
      <c r="O45" s="489">
        <f t="shared" si="7"/>
        <v>647.4</v>
      </c>
    </row>
    <row r="46" spans="1:15" ht="19.5" customHeight="1">
      <c r="A46" s="10" t="s">
        <v>197</v>
      </c>
      <c r="B46" s="11">
        <f>ApIII!R33</f>
        <v>4</v>
      </c>
      <c r="C46" s="416">
        <f>ApIII!S33</f>
        <v>777.5</v>
      </c>
      <c r="D46" s="11"/>
      <c r="E46" s="480"/>
      <c r="F46" s="11"/>
      <c r="G46" s="416"/>
      <c r="H46" s="11"/>
      <c r="I46" s="480"/>
      <c r="J46" s="11"/>
      <c r="K46" s="416"/>
      <c r="L46" s="11"/>
      <c r="M46" s="11"/>
      <c r="N46" s="182">
        <f t="shared" si="7"/>
        <v>4</v>
      </c>
      <c r="O46" s="489">
        <f t="shared" si="7"/>
        <v>777.5</v>
      </c>
    </row>
    <row r="47" spans="1:15" ht="19.5" customHeight="1">
      <c r="A47" s="10" t="s">
        <v>401</v>
      </c>
      <c r="B47" s="11" t="s">
        <v>3</v>
      </c>
      <c r="C47" s="480" t="s">
        <v>3</v>
      </c>
      <c r="D47" s="11"/>
      <c r="E47" s="480" t="s">
        <v>3</v>
      </c>
      <c r="F47" s="11">
        <f>ApX!R36</f>
        <v>1</v>
      </c>
      <c r="G47" s="416">
        <f>ApX!S36</f>
        <v>47.8</v>
      </c>
      <c r="H47" s="11" t="s">
        <v>3</v>
      </c>
      <c r="I47" s="480" t="s">
        <v>3</v>
      </c>
      <c r="J47" s="11"/>
      <c r="K47" s="416"/>
      <c r="L47" s="11" t="s">
        <v>3</v>
      </c>
      <c r="M47" s="11" t="s">
        <v>3</v>
      </c>
      <c r="N47" s="182">
        <f t="shared" si="7"/>
        <v>1</v>
      </c>
      <c r="O47" s="489">
        <f t="shared" si="7"/>
        <v>47.8</v>
      </c>
    </row>
    <row r="48" spans="1:15" ht="19.5" customHeight="1">
      <c r="A48" s="10" t="s">
        <v>28</v>
      </c>
      <c r="B48" s="11"/>
      <c r="C48" s="480"/>
      <c r="D48" s="11">
        <f>ApVII!X26</f>
        <v>2</v>
      </c>
      <c r="E48" s="416">
        <f>ApVII!Y26</f>
        <v>697</v>
      </c>
      <c r="F48" s="11"/>
      <c r="G48" s="480"/>
      <c r="H48" s="11" t="s">
        <v>3</v>
      </c>
      <c r="I48" s="480" t="s">
        <v>3</v>
      </c>
      <c r="J48" s="11"/>
      <c r="K48" s="416"/>
      <c r="L48" s="11" t="s">
        <v>3</v>
      </c>
      <c r="M48" s="11" t="s">
        <v>3</v>
      </c>
      <c r="N48" s="182">
        <f t="shared" si="6"/>
        <v>2</v>
      </c>
      <c r="O48" s="489">
        <f t="shared" si="5"/>
        <v>697</v>
      </c>
    </row>
    <row r="49" spans="1:15" ht="19.5" customHeight="1">
      <c r="A49" s="10" t="s">
        <v>410</v>
      </c>
      <c r="B49" s="11"/>
      <c r="C49" s="480"/>
      <c r="D49" s="11"/>
      <c r="E49" s="480" t="s">
        <v>3</v>
      </c>
      <c r="F49" s="11" t="s">
        <v>3</v>
      </c>
      <c r="G49" s="480" t="s">
        <v>3</v>
      </c>
      <c r="H49" s="11" t="s">
        <v>3</v>
      </c>
      <c r="I49" s="480" t="s">
        <v>3</v>
      </c>
      <c r="J49" s="11">
        <f>ApXII!T31</f>
        <v>2</v>
      </c>
      <c r="K49" s="416">
        <f>ApXII!U31</f>
        <v>182.2</v>
      </c>
      <c r="L49" s="11" t="s">
        <v>3</v>
      </c>
      <c r="M49" s="11" t="s">
        <v>3</v>
      </c>
      <c r="N49" s="182">
        <f t="shared" si="6"/>
        <v>2</v>
      </c>
      <c r="O49" s="489">
        <f>SUM(C49,E49,G49,I49,K49,M49)</f>
        <v>182.2</v>
      </c>
    </row>
    <row r="50" spans="1:15" ht="19.5" customHeight="1">
      <c r="A50" s="10" t="s">
        <v>404</v>
      </c>
      <c r="B50" s="11"/>
      <c r="C50" s="480"/>
      <c r="D50" s="11"/>
      <c r="E50" s="480" t="s">
        <v>3</v>
      </c>
      <c r="F50" s="11" t="s">
        <v>3</v>
      </c>
      <c r="G50" s="480" t="s">
        <v>3</v>
      </c>
      <c r="H50" s="11" t="s">
        <v>3</v>
      </c>
      <c r="I50" s="480" t="s">
        <v>3</v>
      </c>
      <c r="J50" s="11">
        <f>ApXII!T32</f>
        <v>2</v>
      </c>
      <c r="K50" s="416">
        <f>ApXII!U32</f>
        <v>182.4</v>
      </c>
      <c r="L50" s="11" t="s">
        <v>3</v>
      </c>
      <c r="M50" s="11" t="s">
        <v>3</v>
      </c>
      <c r="N50" s="182">
        <f>SUM(B50,D50,F50,H50,J50,L50)</f>
        <v>2</v>
      </c>
      <c r="O50" s="489">
        <f>SUM(C50,E50,G50,I50,K50,M50)</f>
        <v>182.4</v>
      </c>
    </row>
    <row r="51" spans="1:15" ht="19.5" customHeight="1">
      <c r="A51" s="10" t="s">
        <v>29</v>
      </c>
      <c r="B51" s="11">
        <f>ApIII!R34</f>
        <v>4</v>
      </c>
      <c r="C51" s="480">
        <f>ApIII!S34</f>
        <v>1317.6</v>
      </c>
      <c r="D51" s="11">
        <f>ApVII!X27</f>
        <v>3</v>
      </c>
      <c r="E51" s="416">
        <f>ApVII!Y27</f>
        <v>536.7</v>
      </c>
      <c r="F51" s="11">
        <f>ApX!R37</f>
        <v>19</v>
      </c>
      <c r="G51" s="416">
        <f>ApX!S37</f>
        <v>2354.5</v>
      </c>
      <c r="H51" s="11" t="s">
        <v>3</v>
      </c>
      <c r="I51" s="480" t="s">
        <v>3</v>
      </c>
      <c r="J51" s="11">
        <f>ApXII!T33</f>
        <v>2</v>
      </c>
      <c r="K51" s="480">
        <f>ApXII!U33</f>
        <v>182.2</v>
      </c>
      <c r="L51" s="11" t="s">
        <v>3</v>
      </c>
      <c r="M51" s="11" t="s">
        <v>3</v>
      </c>
      <c r="N51" s="182">
        <f t="shared" si="6"/>
        <v>28</v>
      </c>
      <c r="O51" s="489">
        <f t="shared" si="5"/>
        <v>4391</v>
      </c>
    </row>
    <row r="52" spans="1:15" ht="19.5" customHeight="1">
      <c r="A52" s="10" t="s">
        <v>113</v>
      </c>
      <c r="B52" s="11">
        <f>ApIII!R35</f>
        <v>3</v>
      </c>
      <c r="C52" s="480">
        <f>ApIII!S35</f>
        <v>490.8</v>
      </c>
      <c r="D52" s="11"/>
      <c r="E52" s="480" t="s">
        <v>3</v>
      </c>
      <c r="F52" s="11">
        <f>ApX!R38</f>
        <v>1</v>
      </c>
      <c r="G52" s="416">
        <f>ApX!S38</f>
        <v>156.1</v>
      </c>
      <c r="H52" s="11" t="s">
        <v>3</v>
      </c>
      <c r="I52" s="480" t="s">
        <v>3</v>
      </c>
      <c r="J52" s="11" t="s">
        <v>3</v>
      </c>
      <c r="K52" s="480" t="s">
        <v>3</v>
      </c>
      <c r="L52" s="11" t="s">
        <v>3</v>
      </c>
      <c r="M52" s="11" t="s">
        <v>3</v>
      </c>
      <c r="N52" s="182">
        <f t="shared" si="6"/>
        <v>4</v>
      </c>
      <c r="O52" s="489">
        <f>SUM(C52,E52,G52,I52,K52,M52)</f>
        <v>646.9</v>
      </c>
    </row>
    <row r="53" spans="1:15" ht="19.5" customHeight="1">
      <c r="A53" s="10" t="s">
        <v>30</v>
      </c>
      <c r="B53" s="11">
        <f>ApIII!R36</f>
        <v>6</v>
      </c>
      <c r="C53" s="480">
        <f>ApIII!S36</f>
        <v>1046.2</v>
      </c>
      <c r="D53" s="11"/>
      <c r="E53" s="480" t="s">
        <v>3</v>
      </c>
      <c r="F53" s="11">
        <f>ApX!R39</f>
        <v>13</v>
      </c>
      <c r="G53" s="416">
        <f>ApX!S39</f>
        <v>1776.7</v>
      </c>
      <c r="H53" s="11" t="s">
        <v>3</v>
      </c>
      <c r="I53" s="480" t="s">
        <v>3</v>
      </c>
      <c r="J53" s="11" t="s">
        <v>3</v>
      </c>
      <c r="K53" s="480" t="s">
        <v>3</v>
      </c>
      <c r="L53" s="11" t="s">
        <v>3</v>
      </c>
      <c r="M53" s="11" t="s">
        <v>3</v>
      </c>
      <c r="N53" s="182">
        <f t="shared" si="6"/>
        <v>19</v>
      </c>
      <c r="O53" s="489">
        <f>SUM(C53,E53,G53,I53,K53,M53)</f>
        <v>2822.9</v>
      </c>
    </row>
    <row r="54" spans="1:15" ht="19.5" customHeight="1">
      <c r="A54" s="10" t="s">
        <v>31</v>
      </c>
      <c r="B54" s="11">
        <f>ApIII!R37</f>
        <v>1</v>
      </c>
      <c r="C54" s="480">
        <f>ApIII!S37</f>
        <v>181.7</v>
      </c>
      <c r="D54" s="11">
        <f>ApVII!X28</f>
        <v>5</v>
      </c>
      <c r="E54" s="416">
        <f>ApVII!Y28</f>
        <v>622</v>
      </c>
      <c r="F54" s="11">
        <f>ApX!P38</f>
        <v>0</v>
      </c>
      <c r="G54" s="480">
        <f>ApX!Q38</f>
        <v>0</v>
      </c>
      <c r="H54" s="11" t="s">
        <v>3</v>
      </c>
      <c r="I54" s="480" t="s">
        <v>3</v>
      </c>
      <c r="J54" s="11" t="s">
        <v>3</v>
      </c>
      <c r="K54" s="480" t="s">
        <v>3</v>
      </c>
      <c r="L54" s="11" t="s">
        <v>3</v>
      </c>
      <c r="M54" s="11" t="s">
        <v>3</v>
      </c>
      <c r="N54" s="182">
        <f t="shared" si="6"/>
        <v>6</v>
      </c>
      <c r="O54" s="489">
        <f t="shared" si="5"/>
        <v>803.7</v>
      </c>
    </row>
    <row r="55" spans="1:15" ht="19.5" customHeight="1">
      <c r="A55" s="10" t="s">
        <v>33</v>
      </c>
      <c r="B55" s="11">
        <f>ApIII!R38</f>
        <v>6</v>
      </c>
      <c r="C55" s="480">
        <f>ApIII!S38</f>
        <v>815.9</v>
      </c>
      <c r="D55" s="11"/>
      <c r="E55" s="480" t="s">
        <v>3</v>
      </c>
      <c r="F55" s="11">
        <f>ApX!R40</f>
        <v>4</v>
      </c>
      <c r="G55" s="416">
        <f>ApX!S40</f>
        <v>745.6</v>
      </c>
      <c r="H55" s="11" t="s">
        <v>3</v>
      </c>
      <c r="I55" s="480" t="s">
        <v>3</v>
      </c>
      <c r="J55" s="11"/>
      <c r="K55" s="480"/>
      <c r="L55" s="11" t="s">
        <v>3</v>
      </c>
      <c r="M55" s="11" t="s">
        <v>3</v>
      </c>
      <c r="N55" s="182">
        <f t="shared" si="6"/>
        <v>10</v>
      </c>
      <c r="O55" s="489">
        <f t="shared" si="5"/>
        <v>1561.5</v>
      </c>
    </row>
    <row r="56" spans="1:15" ht="19.5" customHeight="1">
      <c r="A56" s="10" t="s">
        <v>34</v>
      </c>
      <c r="B56" s="11">
        <f>ApIII!R39</f>
        <v>2</v>
      </c>
      <c r="C56" s="480">
        <f>ApIII!S39</f>
        <v>343.3</v>
      </c>
      <c r="D56" s="11"/>
      <c r="E56" s="480" t="s">
        <v>3</v>
      </c>
      <c r="F56" s="11" t="s">
        <v>3</v>
      </c>
      <c r="G56" s="480" t="s">
        <v>3</v>
      </c>
      <c r="H56" s="11" t="s">
        <v>3</v>
      </c>
      <c r="I56" s="480" t="s">
        <v>3</v>
      </c>
      <c r="J56" s="11">
        <f>ApXII!T34</f>
        <v>4</v>
      </c>
      <c r="K56" s="416">
        <f>ApXII!U34</f>
        <v>361.9</v>
      </c>
      <c r="L56" s="11" t="s">
        <v>3</v>
      </c>
      <c r="M56" s="11" t="s">
        <v>3</v>
      </c>
      <c r="N56" s="182">
        <f t="shared" si="6"/>
        <v>6</v>
      </c>
      <c r="O56" s="489">
        <f t="shared" si="5"/>
        <v>705.2</v>
      </c>
    </row>
    <row r="57" spans="1:15" ht="19.5" customHeight="1">
      <c r="A57" s="10" t="s">
        <v>35</v>
      </c>
      <c r="B57" s="11">
        <f>ApIII!R40</f>
        <v>2</v>
      </c>
      <c r="C57" s="480">
        <f>ApIII!S40</f>
        <v>643.6</v>
      </c>
      <c r="D57" s="11"/>
      <c r="E57" s="480" t="s">
        <v>3</v>
      </c>
      <c r="F57" s="11">
        <f>ApX!R41</f>
        <v>1</v>
      </c>
      <c r="G57" s="416">
        <f>ApX!S41</f>
        <v>151.6</v>
      </c>
      <c r="H57" s="11" t="s">
        <v>3</v>
      </c>
      <c r="I57" s="480" t="s">
        <v>3</v>
      </c>
      <c r="J57" s="11" t="s">
        <v>3</v>
      </c>
      <c r="K57" s="480" t="s">
        <v>3</v>
      </c>
      <c r="L57" s="11" t="s">
        <v>3</v>
      </c>
      <c r="M57" s="11" t="s">
        <v>3</v>
      </c>
      <c r="N57" s="182">
        <f t="shared" si="6"/>
        <v>3</v>
      </c>
      <c r="O57" s="489">
        <f t="shared" si="5"/>
        <v>795.2</v>
      </c>
    </row>
    <row r="58" spans="1:15" ht="19.5" customHeight="1">
      <c r="A58" s="10" t="s">
        <v>36</v>
      </c>
      <c r="B58" s="11"/>
      <c r="C58" s="480"/>
      <c r="D58" s="11"/>
      <c r="E58" s="480" t="s">
        <v>3</v>
      </c>
      <c r="F58" s="11">
        <f>ApX!R42</f>
        <v>3</v>
      </c>
      <c r="G58" s="416">
        <f>ApX!S42</f>
        <v>528.4</v>
      </c>
      <c r="H58" s="11" t="s">
        <v>3</v>
      </c>
      <c r="I58" s="480" t="s">
        <v>3</v>
      </c>
      <c r="J58" s="11"/>
      <c r="K58" s="480"/>
      <c r="L58" s="11" t="s">
        <v>3</v>
      </c>
      <c r="M58" s="11" t="s">
        <v>3</v>
      </c>
      <c r="N58" s="182">
        <f aca="true" t="shared" si="8" ref="N58:O62">SUM(B58,D58,F58,H58,J58,L58)</f>
        <v>3</v>
      </c>
      <c r="O58" s="489">
        <f t="shared" si="8"/>
        <v>528.4</v>
      </c>
    </row>
    <row r="59" spans="1:15" ht="19.5" customHeight="1">
      <c r="A59" s="10" t="s">
        <v>37</v>
      </c>
      <c r="B59" s="11">
        <f>ApIII!R41</f>
        <v>11</v>
      </c>
      <c r="C59" s="480">
        <f>ApIII!S41</f>
        <v>2874.25</v>
      </c>
      <c r="D59" s="11"/>
      <c r="E59" s="480" t="s">
        <v>3</v>
      </c>
      <c r="F59" s="11">
        <f>ApX!R43</f>
        <v>1</v>
      </c>
      <c r="G59" s="416">
        <f>ApX!S43</f>
        <v>172.4</v>
      </c>
      <c r="H59" s="11" t="s">
        <v>3</v>
      </c>
      <c r="I59" s="480" t="s">
        <v>3</v>
      </c>
      <c r="J59" s="11">
        <f>ApXII!T35</f>
        <v>3</v>
      </c>
      <c r="K59" s="416">
        <f>ApXII!U35</f>
        <v>271.2</v>
      </c>
      <c r="L59" s="11" t="s">
        <v>3</v>
      </c>
      <c r="M59" s="11" t="s">
        <v>3</v>
      </c>
      <c r="N59" s="182">
        <f t="shared" si="8"/>
        <v>15</v>
      </c>
      <c r="O59" s="489">
        <f t="shared" si="8"/>
        <v>3317.85</v>
      </c>
    </row>
    <row r="60" spans="1:15" ht="19.5" customHeight="1">
      <c r="A60" s="10" t="s">
        <v>229</v>
      </c>
      <c r="B60" s="11"/>
      <c r="C60" s="480"/>
      <c r="D60" s="11"/>
      <c r="E60" s="480" t="s">
        <v>3</v>
      </c>
      <c r="F60" s="11">
        <f>ApX!R44</f>
        <v>1</v>
      </c>
      <c r="G60" s="416">
        <f>ApX!S44</f>
        <v>155.8</v>
      </c>
      <c r="H60" s="11" t="s">
        <v>3</v>
      </c>
      <c r="I60" s="480" t="s">
        <v>3</v>
      </c>
      <c r="J60" s="11"/>
      <c r="K60" s="416"/>
      <c r="L60" s="11" t="s">
        <v>3</v>
      </c>
      <c r="M60" s="11" t="s">
        <v>3</v>
      </c>
      <c r="N60" s="182">
        <f t="shared" si="8"/>
        <v>1</v>
      </c>
      <c r="O60" s="489">
        <f t="shared" si="8"/>
        <v>155.8</v>
      </c>
    </row>
    <row r="61" spans="1:15" ht="19.5" customHeight="1">
      <c r="A61" s="10" t="s">
        <v>427</v>
      </c>
      <c r="B61" s="11">
        <f>ApIII!R42</f>
        <v>2</v>
      </c>
      <c r="C61" s="416">
        <f>ApIII!S42</f>
        <v>290.4</v>
      </c>
      <c r="D61" s="11"/>
      <c r="E61" s="480"/>
      <c r="F61" s="11"/>
      <c r="G61" s="416"/>
      <c r="H61" s="11"/>
      <c r="I61" s="480"/>
      <c r="J61" s="11"/>
      <c r="K61" s="416"/>
      <c r="L61" s="11"/>
      <c r="M61" s="11"/>
      <c r="N61" s="182">
        <f t="shared" si="8"/>
        <v>2</v>
      </c>
      <c r="O61" s="489">
        <f t="shared" si="8"/>
        <v>290.4</v>
      </c>
    </row>
    <row r="62" spans="1:15" ht="19.5" customHeight="1">
      <c r="A62" s="10" t="s">
        <v>38</v>
      </c>
      <c r="B62" s="11">
        <f>ApIII!R43</f>
        <v>5</v>
      </c>
      <c r="C62" s="480">
        <f>ApIII!S43</f>
        <v>298.7</v>
      </c>
      <c r="D62" s="11"/>
      <c r="E62" s="480" t="s">
        <v>3</v>
      </c>
      <c r="F62" s="11">
        <f>ApX!R45</f>
        <v>7</v>
      </c>
      <c r="G62" s="416">
        <f>ApX!S45</f>
        <v>839.1999999999999</v>
      </c>
      <c r="H62" s="11" t="s">
        <v>3</v>
      </c>
      <c r="I62" s="480" t="s">
        <v>3</v>
      </c>
      <c r="J62" s="11" t="s">
        <v>3</v>
      </c>
      <c r="K62" s="480" t="s">
        <v>3</v>
      </c>
      <c r="L62" s="11" t="s">
        <v>3</v>
      </c>
      <c r="M62" s="11" t="s">
        <v>3</v>
      </c>
      <c r="N62" s="182">
        <f t="shared" si="8"/>
        <v>12</v>
      </c>
      <c r="O62" s="489">
        <f t="shared" si="8"/>
        <v>1137.8999999999999</v>
      </c>
    </row>
    <row r="63" spans="1:15" ht="19.5" customHeight="1">
      <c r="A63" s="10" t="s">
        <v>124</v>
      </c>
      <c r="B63" s="11">
        <f>ApIII!R44</f>
        <v>3</v>
      </c>
      <c r="C63" s="480">
        <f>ApIII!S44</f>
        <v>475.6</v>
      </c>
      <c r="D63" s="11"/>
      <c r="E63" s="480" t="s">
        <v>3</v>
      </c>
      <c r="F63" s="11">
        <f>ApX!P43</f>
        <v>0</v>
      </c>
      <c r="G63" s="480">
        <f>ApX!Q43</f>
        <v>0</v>
      </c>
      <c r="H63" s="11" t="s">
        <v>3</v>
      </c>
      <c r="I63" s="480" t="s">
        <v>3</v>
      </c>
      <c r="J63" s="11" t="s">
        <v>3</v>
      </c>
      <c r="K63" s="480" t="s">
        <v>3</v>
      </c>
      <c r="L63" s="11" t="s">
        <v>3</v>
      </c>
      <c r="M63" s="11" t="s">
        <v>3</v>
      </c>
      <c r="N63" s="182">
        <f aca="true" t="shared" si="9" ref="N63:O66">SUM(B63,D63,F63,H63,J63,L63)</f>
        <v>3</v>
      </c>
      <c r="O63" s="489">
        <f t="shared" si="9"/>
        <v>475.6</v>
      </c>
    </row>
    <row r="64" spans="1:16" ht="19.5" customHeight="1">
      <c r="A64" s="10" t="s">
        <v>39</v>
      </c>
      <c r="B64" s="11"/>
      <c r="C64" s="480"/>
      <c r="D64" s="11">
        <f>ApVII!X29</f>
        <v>2</v>
      </c>
      <c r="E64" s="416">
        <f>ApVII!Y29</f>
        <v>152.9</v>
      </c>
      <c r="F64" s="11">
        <f>ApX!R46</f>
        <v>3</v>
      </c>
      <c r="G64" s="416">
        <f>ApX!S46</f>
        <v>178.8</v>
      </c>
      <c r="H64" s="11" t="s">
        <v>3</v>
      </c>
      <c r="I64" s="480" t="s">
        <v>3</v>
      </c>
      <c r="J64" s="11"/>
      <c r="K64" s="480"/>
      <c r="L64" s="11" t="s">
        <v>3</v>
      </c>
      <c r="M64" s="11" t="s">
        <v>3</v>
      </c>
      <c r="N64" s="182">
        <f t="shared" si="9"/>
        <v>5</v>
      </c>
      <c r="O64" s="489">
        <f t="shared" si="9"/>
        <v>331.70000000000005</v>
      </c>
      <c r="P64" s="204"/>
    </row>
    <row r="65" spans="1:16" ht="18" customHeight="1">
      <c r="A65" s="10" t="s">
        <v>40</v>
      </c>
      <c r="B65" s="11">
        <f>ApIII!R45</f>
        <v>2</v>
      </c>
      <c r="C65" s="480">
        <f>ApIII!S45</f>
        <v>324.8</v>
      </c>
      <c r="D65" s="11"/>
      <c r="E65" s="480"/>
      <c r="F65" s="11">
        <f>ApX!R47</f>
        <v>2</v>
      </c>
      <c r="G65" s="416">
        <f>ApX!S47</f>
        <v>289.8</v>
      </c>
      <c r="H65" s="11" t="s">
        <v>3</v>
      </c>
      <c r="I65" s="480" t="s">
        <v>3</v>
      </c>
      <c r="J65" s="11"/>
      <c r="K65" s="480"/>
      <c r="L65" s="11" t="s">
        <v>3</v>
      </c>
      <c r="M65" s="11" t="s">
        <v>3</v>
      </c>
      <c r="N65" s="182">
        <f t="shared" si="9"/>
        <v>4</v>
      </c>
      <c r="O65" s="489">
        <f t="shared" si="9"/>
        <v>614.6</v>
      </c>
      <c r="P65" s="204"/>
    </row>
    <row r="66" spans="1:20" s="285" customFormat="1" ht="18" customHeight="1">
      <c r="A66" s="10" t="s">
        <v>41</v>
      </c>
      <c r="B66" s="11" t="s">
        <v>3</v>
      </c>
      <c r="C66" s="480" t="s">
        <v>3</v>
      </c>
      <c r="D66" s="11"/>
      <c r="E66" s="480"/>
      <c r="F66" s="11">
        <f>ApX!R48</f>
        <v>2</v>
      </c>
      <c r="G66" s="416">
        <f>ApX!S48</f>
        <v>286.6</v>
      </c>
      <c r="H66" s="11" t="s">
        <v>3</v>
      </c>
      <c r="I66" s="480" t="s">
        <v>3</v>
      </c>
      <c r="J66" s="11"/>
      <c r="K66" s="480"/>
      <c r="L66" s="11" t="s">
        <v>3</v>
      </c>
      <c r="M66" s="11" t="s">
        <v>3</v>
      </c>
      <c r="N66" s="182">
        <f t="shared" si="9"/>
        <v>2</v>
      </c>
      <c r="O66" s="489">
        <f t="shared" si="9"/>
        <v>286.6</v>
      </c>
      <c r="P66" s="417"/>
      <c r="Q66" s="230"/>
      <c r="R66" s="230"/>
      <c r="S66" s="230"/>
      <c r="T66" s="230"/>
    </row>
    <row r="67" spans="1:16" ht="21.75" customHeight="1">
      <c r="A67" s="527" t="s">
        <v>497</v>
      </c>
      <c r="B67" s="540"/>
      <c r="C67" s="531"/>
      <c r="D67" s="540"/>
      <c r="E67" s="531"/>
      <c r="F67" s="540"/>
      <c r="G67" s="531"/>
      <c r="H67" s="540"/>
      <c r="I67" s="531"/>
      <c r="J67" s="540"/>
      <c r="K67" s="531"/>
      <c r="L67" s="540"/>
      <c r="M67" s="540"/>
      <c r="N67" s="533"/>
      <c r="O67" s="534"/>
      <c r="P67" s="204"/>
    </row>
    <row r="68" spans="1:16" ht="21" customHeight="1">
      <c r="A68" s="76" t="s">
        <v>263</v>
      </c>
      <c r="B68" s="11">
        <f>ApIII!R47</f>
        <v>2</v>
      </c>
      <c r="C68" s="416">
        <f>ApIII!S47</f>
        <v>218.4</v>
      </c>
      <c r="D68" s="11"/>
      <c r="E68" s="480"/>
      <c r="F68" s="11">
        <f>ApX!R50</f>
        <v>1</v>
      </c>
      <c r="G68" s="416">
        <f>ApX!S50</f>
        <v>56.3</v>
      </c>
      <c r="H68" s="11" t="s">
        <v>3</v>
      </c>
      <c r="I68" s="480" t="s">
        <v>3</v>
      </c>
      <c r="J68" s="11" t="s">
        <v>3</v>
      </c>
      <c r="K68" s="480" t="s">
        <v>3</v>
      </c>
      <c r="L68" s="11" t="s">
        <v>3</v>
      </c>
      <c r="M68" s="11" t="s">
        <v>3</v>
      </c>
      <c r="N68" s="182">
        <f aca="true" t="shared" si="10" ref="N68:O72">SUM(B68,D68,F68,H68,J68,L68)</f>
        <v>3</v>
      </c>
      <c r="O68" s="489">
        <f t="shared" si="10"/>
        <v>274.7</v>
      </c>
      <c r="P68" s="204"/>
    </row>
    <row r="69" spans="1:16" ht="21" customHeight="1">
      <c r="A69" s="76" t="s">
        <v>424</v>
      </c>
      <c r="B69" s="11">
        <f>ApIII!R48</f>
        <v>1</v>
      </c>
      <c r="C69" s="416">
        <f>ApIII!S48</f>
        <v>65.8</v>
      </c>
      <c r="D69" s="11"/>
      <c r="E69" s="480"/>
      <c r="F69" s="11"/>
      <c r="G69" s="416"/>
      <c r="H69" s="11"/>
      <c r="I69" s="480"/>
      <c r="J69" s="11"/>
      <c r="K69" s="480"/>
      <c r="L69" s="11"/>
      <c r="M69" s="11"/>
      <c r="N69" s="182">
        <f>SUM(B69,D69,F69,H69,J69,L69)</f>
        <v>1</v>
      </c>
      <c r="O69" s="489">
        <f>SUM(C69,E69,G69,I69,K69,M69)</f>
        <v>65.8</v>
      </c>
      <c r="P69" s="204"/>
    </row>
    <row r="70" spans="1:16" ht="21" customHeight="1">
      <c r="A70" s="76" t="s">
        <v>166</v>
      </c>
      <c r="B70" s="11">
        <f>ApIII!R49</f>
        <v>1</v>
      </c>
      <c r="C70" s="416">
        <f>ApIII!S49</f>
        <v>131.9</v>
      </c>
      <c r="D70" s="11"/>
      <c r="E70" s="480"/>
      <c r="F70" s="11"/>
      <c r="G70" s="416"/>
      <c r="H70" s="11"/>
      <c r="I70" s="480"/>
      <c r="J70" s="11"/>
      <c r="K70" s="480"/>
      <c r="L70" s="11"/>
      <c r="M70" s="11"/>
      <c r="N70" s="182">
        <f>SUM(B70,D70,F70,H70,J70,L70)</f>
        <v>1</v>
      </c>
      <c r="O70" s="489">
        <f>SUM(C70,E70,G70,I70,K70,M70)</f>
        <v>131.9</v>
      </c>
      <c r="P70" s="204"/>
    </row>
    <row r="71" spans="1:16" ht="19.5" customHeight="1">
      <c r="A71" s="10" t="s">
        <v>23</v>
      </c>
      <c r="B71" s="11">
        <f>ApIII!R50</f>
        <v>1</v>
      </c>
      <c r="C71" s="416">
        <f>ApIII!S50</f>
        <v>122.6</v>
      </c>
      <c r="D71" s="11"/>
      <c r="E71" s="480"/>
      <c r="F71" s="11">
        <f>ApX!R51</f>
        <v>2</v>
      </c>
      <c r="G71" s="416">
        <f>ApX!S51</f>
        <v>368.5</v>
      </c>
      <c r="H71" s="11" t="s">
        <v>3</v>
      </c>
      <c r="I71" s="480" t="s">
        <v>3</v>
      </c>
      <c r="J71" s="11" t="s">
        <v>3</v>
      </c>
      <c r="K71" s="480" t="s">
        <v>3</v>
      </c>
      <c r="L71" s="11" t="s">
        <v>3</v>
      </c>
      <c r="M71" s="11" t="s">
        <v>3</v>
      </c>
      <c r="N71" s="182">
        <f t="shared" si="10"/>
        <v>3</v>
      </c>
      <c r="O71" s="489">
        <f t="shared" si="10"/>
        <v>491.1</v>
      </c>
      <c r="P71" s="204"/>
    </row>
    <row r="72" spans="1:15" ht="19.5" customHeight="1">
      <c r="A72" s="16" t="s">
        <v>24</v>
      </c>
      <c r="B72" s="17" t="s">
        <v>3</v>
      </c>
      <c r="C72" s="481" t="s">
        <v>3</v>
      </c>
      <c r="D72" s="17"/>
      <c r="E72" s="481"/>
      <c r="F72" s="17">
        <f>ApX!R52</f>
        <v>4</v>
      </c>
      <c r="G72" s="519">
        <f>ApX!S52</f>
        <v>544.7</v>
      </c>
      <c r="H72" s="17" t="s">
        <v>3</v>
      </c>
      <c r="I72" s="481" t="s">
        <v>3</v>
      </c>
      <c r="J72" s="17" t="s">
        <v>3</v>
      </c>
      <c r="K72" s="481" t="s">
        <v>3</v>
      </c>
      <c r="L72" s="17" t="s">
        <v>3</v>
      </c>
      <c r="M72" s="17" t="s">
        <v>3</v>
      </c>
      <c r="N72" s="183">
        <f t="shared" si="10"/>
        <v>4</v>
      </c>
      <c r="O72" s="490">
        <f t="shared" si="10"/>
        <v>544.7</v>
      </c>
    </row>
    <row r="73" spans="1:15" ht="21.75" customHeight="1">
      <c r="A73" s="527" t="s">
        <v>498</v>
      </c>
      <c r="B73" s="540"/>
      <c r="C73" s="531"/>
      <c r="D73" s="540"/>
      <c r="E73" s="531"/>
      <c r="F73" s="540"/>
      <c r="G73" s="531"/>
      <c r="H73" s="540"/>
      <c r="I73" s="531"/>
      <c r="J73" s="541"/>
      <c r="K73" s="531"/>
      <c r="L73" s="540"/>
      <c r="M73" s="540"/>
      <c r="N73" s="533"/>
      <c r="O73" s="534"/>
    </row>
    <row r="74" spans="1:15" ht="20.25" customHeight="1">
      <c r="A74" s="16" t="s">
        <v>421</v>
      </c>
      <c r="B74" s="17">
        <f>ApIII!R63</f>
        <v>1</v>
      </c>
      <c r="C74" s="481">
        <f>ApIII!S63</f>
        <v>346.5</v>
      </c>
      <c r="D74" s="17"/>
      <c r="E74" s="481"/>
      <c r="F74" s="17"/>
      <c r="G74" s="481"/>
      <c r="H74" s="17"/>
      <c r="I74" s="481"/>
      <c r="J74" s="17"/>
      <c r="K74" s="481"/>
      <c r="L74" s="17"/>
      <c r="M74" s="17"/>
      <c r="N74" s="183">
        <f>SUM(B74,D74,F74,H74,J74,L74)</f>
        <v>1</v>
      </c>
      <c r="O74" s="490">
        <f>SUM(C74,E74,G74,I74,K74,M74)</f>
        <v>346.5</v>
      </c>
    </row>
    <row r="75" spans="1:15" ht="21.75" customHeight="1">
      <c r="A75" s="527" t="s">
        <v>499</v>
      </c>
      <c r="B75" s="540"/>
      <c r="C75" s="531"/>
      <c r="D75" s="540"/>
      <c r="E75" s="531"/>
      <c r="F75" s="540"/>
      <c r="G75" s="531"/>
      <c r="H75" s="540"/>
      <c r="I75" s="531"/>
      <c r="J75" s="541"/>
      <c r="K75" s="531"/>
      <c r="L75" s="540"/>
      <c r="M75" s="540"/>
      <c r="N75" s="533"/>
      <c r="O75" s="534"/>
    </row>
    <row r="76" spans="1:15" ht="21.75" customHeight="1">
      <c r="A76" s="10" t="s">
        <v>136</v>
      </c>
      <c r="B76" s="11">
        <f>ApIII!R52</f>
        <v>4</v>
      </c>
      <c r="C76" s="480">
        <f>ApIII!S52</f>
        <v>580.3</v>
      </c>
      <c r="D76" s="11"/>
      <c r="E76" s="480"/>
      <c r="F76" s="11">
        <f>ApX!R54</f>
        <v>1</v>
      </c>
      <c r="G76" s="416">
        <f>ApX!S54</f>
        <v>123</v>
      </c>
      <c r="H76" s="11" t="s">
        <v>3</v>
      </c>
      <c r="I76" s="480" t="s">
        <v>3</v>
      </c>
      <c r="J76" s="11" t="s">
        <v>3</v>
      </c>
      <c r="K76" s="480" t="s">
        <v>3</v>
      </c>
      <c r="L76" s="11" t="s">
        <v>3</v>
      </c>
      <c r="M76" s="11" t="s">
        <v>3</v>
      </c>
      <c r="N76" s="182">
        <f aca="true" t="shared" si="11" ref="N76:N82">SUM(B76,D76,F76,H76,J76,L76)</f>
        <v>5</v>
      </c>
      <c r="O76" s="489">
        <f aca="true" t="shared" si="12" ref="O76:O82">SUM(C76,E76,G76,I76,K76,M76)</f>
        <v>703.3</v>
      </c>
    </row>
    <row r="77" spans="1:15" ht="20.25" customHeight="1">
      <c r="A77" s="10" t="s">
        <v>164</v>
      </c>
      <c r="B77" s="11">
        <f>ApIII!R53</f>
        <v>7</v>
      </c>
      <c r="C77" s="480">
        <f>ApIII!S53</f>
        <v>1537.73</v>
      </c>
      <c r="D77" s="11"/>
      <c r="E77" s="480"/>
      <c r="F77" s="11" t="s">
        <v>3</v>
      </c>
      <c r="G77" s="480" t="s">
        <v>3</v>
      </c>
      <c r="H77" s="11" t="s">
        <v>3</v>
      </c>
      <c r="I77" s="480" t="s">
        <v>3</v>
      </c>
      <c r="J77" s="11"/>
      <c r="K77" s="416"/>
      <c r="L77" s="11" t="s">
        <v>3</v>
      </c>
      <c r="M77" s="11" t="s">
        <v>3</v>
      </c>
      <c r="N77" s="182">
        <f t="shared" si="11"/>
        <v>7</v>
      </c>
      <c r="O77" s="489">
        <f t="shared" si="12"/>
        <v>1537.73</v>
      </c>
    </row>
    <row r="78" spans="1:15" ht="20.25" customHeight="1">
      <c r="A78" s="10" t="s">
        <v>42</v>
      </c>
      <c r="B78" s="11">
        <f>ApIII!R54</f>
        <v>2</v>
      </c>
      <c r="C78" s="480">
        <f>ApIII!S54</f>
        <v>461.8</v>
      </c>
      <c r="D78" s="11"/>
      <c r="E78" s="480"/>
      <c r="F78" s="11">
        <f>ApX!R55</f>
        <v>2</v>
      </c>
      <c r="G78" s="416">
        <f>ApX!S55</f>
        <v>524.6</v>
      </c>
      <c r="H78" s="11" t="s">
        <v>3</v>
      </c>
      <c r="I78" s="480" t="s">
        <v>3</v>
      </c>
      <c r="J78" s="11" t="s">
        <v>3</v>
      </c>
      <c r="K78" s="480" t="s">
        <v>3</v>
      </c>
      <c r="L78" s="11" t="s">
        <v>3</v>
      </c>
      <c r="M78" s="11" t="s">
        <v>3</v>
      </c>
      <c r="N78" s="182">
        <f t="shared" si="11"/>
        <v>4</v>
      </c>
      <c r="O78" s="489">
        <f t="shared" si="12"/>
        <v>986.4000000000001</v>
      </c>
    </row>
    <row r="79" spans="1:15" ht="20.25" customHeight="1">
      <c r="A79" s="10" t="s">
        <v>43</v>
      </c>
      <c r="B79" s="11" t="s">
        <v>3</v>
      </c>
      <c r="C79" s="480" t="s">
        <v>3</v>
      </c>
      <c r="D79" s="11"/>
      <c r="E79" s="480"/>
      <c r="F79" s="11">
        <f>ApX!R56</f>
        <v>1</v>
      </c>
      <c r="G79" s="416">
        <f>ApX!S56</f>
        <v>222.3</v>
      </c>
      <c r="H79" s="11" t="s">
        <v>3</v>
      </c>
      <c r="I79" s="480" t="s">
        <v>3</v>
      </c>
      <c r="J79" s="11" t="s">
        <v>3</v>
      </c>
      <c r="K79" s="480" t="s">
        <v>3</v>
      </c>
      <c r="L79" s="11" t="s">
        <v>3</v>
      </c>
      <c r="M79" s="11" t="s">
        <v>3</v>
      </c>
      <c r="N79" s="182">
        <f t="shared" si="11"/>
        <v>1</v>
      </c>
      <c r="O79" s="489">
        <f t="shared" si="12"/>
        <v>222.3</v>
      </c>
    </row>
    <row r="80" spans="1:15" ht="20.25" customHeight="1">
      <c r="A80" s="10" t="s">
        <v>147</v>
      </c>
      <c r="B80" s="11">
        <f>ApIII!R55</f>
        <v>1</v>
      </c>
      <c r="C80" s="416">
        <f>ApIII!S55</f>
        <v>265.4</v>
      </c>
      <c r="D80" s="11"/>
      <c r="E80" s="480"/>
      <c r="F80" s="11">
        <f>ApX!R57</f>
        <v>2</v>
      </c>
      <c r="G80" s="416">
        <f>ApX!S57</f>
        <v>483.6</v>
      </c>
      <c r="H80" s="11" t="s">
        <v>3</v>
      </c>
      <c r="I80" s="480" t="s">
        <v>3</v>
      </c>
      <c r="J80" s="11" t="s">
        <v>3</v>
      </c>
      <c r="K80" s="480" t="s">
        <v>3</v>
      </c>
      <c r="L80" s="11" t="s">
        <v>3</v>
      </c>
      <c r="M80" s="11" t="s">
        <v>3</v>
      </c>
      <c r="N80" s="182">
        <f>SUM(B80,D80,F80,H80,J80,L80)</f>
        <v>3</v>
      </c>
      <c r="O80" s="489">
        <f>SUM(C80,E80,G80,I80,K80,M80)</f>
        <v>749</v>
      </c>
    </row>
    <row r="81" spans="1:15" ht="20.25" customHeight="1">
      <c r="A81" s="10" t="s">
        <v>44</v>
      </c>
      <c r="B81" s="11" t="s">
        <v>3</v>
      </c>
      <c r="C81" s="480" t="s">
        <v>3</v>
      </c>
      <c r="D81" s="11"/>
      <c r="E81" s="480"/>
      <c r="F81" s="11">
        <f>ApX!R58</f>
        <v>3</v>
      </c>
      <c r="G81" s="416">
        <f>ApX!S58</f>
        <v>831.7</v>
      </c>
      <c r="H81" s="11" t="s">
        <v>3</v>
      </c>
      <c r="I81" s="480" t="s">
        <v>3</v>
      </c>
      <c r="J81" s="11" t="s">
        <v>3</v>
      </c>
      <c r="K81" s="480" t="s">
        <v>3</v>
      </c>
      <c r="L81" s="11" t="s">
        <v>3</v>
      </c>
      <c r="M81" s="11" t="s">
        <v>3</v>
      </c>
      <c r="N81" s="182">
        <f t="shared" si="11"/>
        <v>3</v>
      </c>
      <c r="O81" s="489">
        <f t="shared" si="12"/>
        <v>831.7</v>
      </c>
    </row>
    <row r="82" spans="1:15" ht="20.25" customHeight="1">
      <c r="A82" s="10" t="s">
        <v>165</v>
      </c>
      <c r="B82" s="11">
        <f>ApIII!R56</f>
        <v>1</v>
      </c>
      <c r="C82" s="480">
        <f>ApIII!S56</f>
        <v>242.3</v>
      </c>
      <c r="D82" s="11"/>
      <c r="E82" s="480"/>
      <c r="F82" s="11">
        <f>ApX!R59</f>
        <v>3</v>
      </c>
      <c r="G82" s="416">
        <f>ApX!S59</f>
        <v>538.6</v>
      </c>
      <c r="H82" s="11" t="s">
        <v>3</v>
      </c>
      <c r="I82" s="480" t="s">
        <v>3</v>
      </c>
      <c r="J82" s="11" t="s">
        <v>3</v>
      </c>
      <c r="K82" s="480" t="s">
        <v>3</v>
      </c>
      <c r="L82" s="11" t="s">
        <v>3</v>
      </c>
      <c r="M82" s="11" t="s">
        <v>3</v>
      </c>
      <c r="N82" s="182">
        <f t="shared" si="11"/>
        <v>4</v>
      </c>
      <c r="O82" s="489">
        <f t="shared" si="12"/>
        <v>780.9000000000001</v>
      </c>
    </row>
    <row r="83" spans="1:15" ht="20.25" customHeight="1">
      <c r="A83" s="10" t="s">
        <v>230</v>
      </c>
      <c r="B83" s="11"/>
      <c r="C83" s="480"/>
      <c r="D83" s="11"/>
      <c r="E83" s="480"/>
      <c r="F83" s="11">
        <f>ApX!R60</f>
        <v>2</v>
      </c>
      <c r="G83" s="416">
        <f>ApX!S60</f>
        <v>459</v>
      </c>
      <c r="H83" s="11" t="s">
        <v>3</v>
      </c>
      <c r="I83" s="480" t="s">
        <v>3</v>
      </c>
      <c r="J83" s="11"/>
      <c r="K83" s="416"/>
      <c r="L83" s="11" t="s">
        <v>3</v>
      </c>
      <c r="M83" s="11" t="s">
        <v>3</v>
      </c>
      <c r="N83" s="182">
        <f>SUM(B83,D83,F83,H83,J83,L83)</f>
        <v>2</v>
      </c>
      <c r="O83" s="489">
        <f>SUM(C83,E83,G83,I83,K83,M83)</f>
        <v>459</v>
      </c>
    </row>
    <row r="84" spans="1:15" ht="20.25" customHeight="1">
      <c r="A84" s="10" t="s">
        <v>45</v>
      </c>
      <c r="B84" s="11">
        <f>ApIII!R57</f>
        <v>1</v>
      </c>
      <c r="C84" s="480">
        <f>ApIII!S57</f>
        <v>228.1</v>
      </c>
      <c r="D84" s="11"/>
      <c r="E84" s="480"/>
      <c r="F84" s="11">
        <f>ApX!R61</f>
        <v>1</v>
      </c>
      <c r="G84" s="416">
        <f>ApX!S61</f>
        <v>189.9</v>
      </c>
      <c r="H84" s="11" t="s">
        <v>3</v>
      </c>
      <c r="I84" s="480" t="s">
        <v>3</v>
      </c>
      <c r="J84" s="11" t="s">
        <v>3</v>
      </c>
      <c r="K84" s="480" t="s">
        <v>3</v>
      </c>
      <c r="L84" s="11" t="s">
        <v>3</v>
      </c>
      <c r="M84" s="11" t="s">
        <v>3</v>
      </c>
      <c r="N84" s="182">
        <f aca="true" t="shared" si="13" ref="N84:O89">SUM(B84,D84,F84,H84,J84,L84)</f>
        <v>2</v>
      </c>
      <c r="O84" s="489">
        <f t="shared" si="13"/>
        <v>418</v>
      </c>
    </row>
    <row r="85" spans="1:15" ht="20.25" customHeight="1">
      <c r="A85" s="10" t="s">
        <v>148</v>
      </c>
      <c r="B85" s="11"/>
      <c r="C85" s="480"/>
      <c r="D85" s="11"/>
      <c r="E85" s="480"/>
      <c r="F85" s="11">
        <f>ApX!R62</f>
        <v>1</v>
      </c>
      <c r="G85" s="416">
        <f>ApX!S62</f>
        <v>240</v>
      </c>
      <c r="H85" s="11" t="s">
        <v>3</v>
      </c>
      <c r="I85" s="480" t="s">
        <v>3</v>
      </c>
      <c r="J85" s="11" t="s">
        <v>3</v>
      </c>
      <c r="K85" s="480" t="s">
        <v>3</v>
      </c>
      <c r="L85" s="11" t="s">
        <v>3</v>
      </c>
      <c r="M85" s="11" t="s">
        <v>3</v>
      </c>
      <c r="N85" s="182">
        <f t="shared" si="13"/>
        <v>1</v>
      </c>
      <c r="O85" s="489">
        <f t="shared" si="13"/>
        <v>240</v>
      </c>
    </row>
    <row r="86" spans="1:15" ht="20.25" customHeight="1">
      <c r="A86" s="10" t="s">
        <v>167</v>
      </c>
      <c r="B86" s="11"/>
      <c r="C86" s="480"/>
      <c r="D86" s="11"/>
      <c r="E86" s="480"/>
      <c r="F86" s="11">
        <f>ApX!R63</f>
        <v>1</v>
      </c>
      <c r="G86" s="416">
        <f>ApX!S63</f>
        <v>247</v>
      </c>
      <c r="H86" s="11" t="s">
        <v>3</v>
      </c>
      <c r="I86" s="480" t="s">
        <v>3</v>
      </c>
      <c r="J86" s="11" t="s">
        <v>3</v>
      </c>
      <c r="K86" s="480" t="s">
        <v>3</v>
      </c>
      <c r="L86" s="11" t="s">
        <v>3</v>
      </c>
      <c r="M86" s="11" t="s">
        <v>3</v>
      </c>
      <c r="N86" s="182">
        <f t="shared" si="13"/>
        <v>1</v>
      </c>
      <c r="O86" s="489">
        <f t="shared" si="13"/>
        <v>247</v>
      </c>
    </row>
    <row r="87" spans="1:15" ht="20.25" customHeight="1">
      <c r="A87" s="10" t="s">
        <v>46</v>
      </c>
      <c r="B87" s="11">
        <f>ApIII!R58</f>
        <v>4</v>
      </c>
      <c r="C87" s="480">
        <f>ApIII!S58</f>
        <v>729.1</v>
      </c>
      <c r="D87" s="11"/>
      <c r="E87" s="480"/>
      <c r="F87" s="11">
        <f>ApX!R64</f>
        <v>4</v>
      </c>
      <c r="G87" s="416">
        <f>ApX!S64</f>
        <v>1046.9</v>
      </c>
      <c r="H87" s="11" t="s">
        <v>3</v>
      </c>
      <c r="I87" s="480" t="s">
        <v>3</v>
      </c>
      <c r="J87" s="11" t="s">
        <v>3</v>
      </c>
      <c r="K87" s="480" t="s">
        <v>3</v>
      </c>
      <c r="L87" s="11" t="s">
        <v>3</v>
      </c>
      <c r="M87" s="11" t="s">
        <v>3</v>
      </c>
      <c r="N87" s="182">
        <f>SUM(B87,D87,F87,H87,J87,L87)</f>
        <v>8</v>
      </c>
      <c r="O87" s="489">
        <f>SUM(C87,E87,G87,I87,K87,M87)</f>
        <v>1776</v>
      </c>
    </row>
    <row r="88" spans="1:15" ht="20.25" customHeight="1">
      <c r="A88" s="10" t="s">
        <v>266</v>
      </c>
      <c r="B88" s="11"/>
      <c r="C88" s="480"/>
      <c r="D88" s="11"/>
      <c r="E88" s="480"/>
      <c r="F88" s="11">
        <f>ApX!R65</f>
        <v>3</v>
      </c>
      <c r="G88" s="416">
        <f>ApX!S65</f>
        <v>823.6</v>
      </c>
      <c r="H88" s="11" t="s">
        <v>3</v>
      </c>
      <c r="I88" s="480" t="s">
        <v>3</v>
      </c>
      <c r="J88" s="11" t="s">
        <v>3</v>
      </c>
      <c r="K88" s="480" t="s">
        <v>3</v>
      </c>
      <c r="L88" s="11" t="s">
        <v>3</v>
      </c>
      <c r="M88" s="11" t="s">
        <v>3</v>
      </c>
      <c r="N88" s="182">
        <f>SUM(B88,D88,F88,H88,J88,L88)</f>
        <v>3</v>
      </c>
      <c r="O88" s="489">
        <f>SUM(C88,E88,G88,I88,K88,M88)</f>
        <v>823.6</v>
      </c>
    </row>
    <row r="89" spans="1:15" ht="20.25" customHeight="1">
      <c r="A89" s="10" t="s">
        <v>265</v>
      </c>
      <c r="B89" s="11"/>
      <c r="C89" s="480"/>
      <c r="D89" s="11"/>
      <c r="E89" s="480"/>
      <c r="F89" s="11">
        <f>ApX!R66</f>
        <v>1</v>
      </c>
      <c r="G89" s="416">
        <f>ApX!S66</f>
        <v>259.8</v>
      </c>
      <c r="H89" s="11" t="s">
        <v>3</v>
      </c>
      <c r="I89" s="480" t="s">
        <v>3</v>
      </c>
      <c r="J89" s="11" t="s">
        <v>3</v>
      </c>
      <c r="K89" s="480" t="s">
        <v>3</v>
      </c>
      <c r="L89" s="11" t="s">
        <v>3</v>
      </c>
      <c r="M89" s="11" t="s">
        <v>3</v>
      </c>
      <c r="N89" s="182">
        <f t="shared" si="13"/>
        <v>1</v>
      </c>
      <c r="O89" s="489">
        <f t="shared" si="13"/>
        <v>259.8</v>
      </c>
    </row>
    <row r="90" spans="1:15" ht="20.25" customHeight="1">
      <c r="A90" s="10" t="s">
        <v>47</v>
      </c>
      <c r="B90" s="11">
        <f>ApIII!R59</f>
        <v>2</v>
      </c>
      <c r="C90" s="416">
        <f>ApIII!S59</f>
        <v>524.6</v>
      </c>
      <c r="D90" s="11"/>
      <c r="E90" s="480"/>
      <c r="F90" s="11" t="s">
        <v>3</v>
      </c>
      <c r="G90" s="480" t="s">
        <v>3</v>
      </c>
      <c r="H90" s="11" t="s">
        <v>3</v>
      </c>
      <c r="I90" s="480" t="s">
        <v>3</v>
      </c>
      <c r="J90" s="11" t="s">
        <v>3</v>
      </c>
      <c r="K90" s="480" t="s">
        <v>3</v>
      </c>
      <c r="L90" s="11" t="s">
        <v>3</v>
      </c>
      <c r="M90" s="11" t="s">
        <v>3</v>
      </c>
      <c r="N90" s="182">
        <f>SUM(B90,D90,F90,H90,J90,L90)</f>
        <v>2</v>
      </c>
      <c r="O90" s="489">
        <f>SUM(C90,E90,G90,I90,K90,M90)</f>
        <v>524.6</v>
      </c>
    </row>
    <row r="91" spans="1:15" ht="20.25" customHeight="1">
      <c r="A91" s="10" t="s">
        <v>116</v>
      </c>
      <c r="B91" s="11">
        <f>ApIII!R60</f>
        <v>1</v>
      </c>
      <c r="C91" s="480">
        <f>ApIII!S60</f>
        <v>178.7</v>
      </c>
      <c r="D91" s="11"/>
      <c r="E91" s="11"/>
      <c r="F91" s="11">
        <f>ApX!R67</f>
        <v>2</v>
      </c>
      <c r="G91" s="416">
        <f>ApX!S67</f>
        <v>368.2</v>
      </c>
      <c r="H91" s="11" t="s">
        <v>3</v>
      </c>
      <c r="I91" s="480" t="s">
        <v>3</v>
      </c>
      <c r="J91" s="11" t="s">
        <v>3</v>
      </c>
      <c r="K91" s="480" t="s">
        <v>3</v>
      </c>
      <c r="L91" s="11" t="s">
        <v>3</v>
      </c>
      <c r="M91" s="11" t="s">
        <v>3</v>
      </c>
      <c r="N91" s="182">
        <f aca="true" t="shared" si="14" ref="N91:O93">SUM(B91,D91,F91,H91,J91,L91)</f>
        <v>3</v>
      </c>
      <c r="O91" s="489">
        <f t="shared" si="14"/>
        <v>546.9</v>
      </c>
    </row>
    <row r="92" spans="1:15" ht="20.25" customHeight="1">
      <c r="A92" s="16" t="s">
        <v>135</v>
      </c>
      <c r="B92" s="17">
        <f>ApIII!R61</f>
        <v>1</v>
      </c>
      <c r="C92" s="481">
        <f>ApIII!S61</f>
        <v>295.8</v>
      </c>
      <c r="D92" s="17"/>
      <c r="E92" s="481"/>
      <c r="F92" s="17" t="s">
        <v>3</v>
      </c>
      <c r="G92" s="481" t="s">
        <v>3</v>
      </c>
      <c r="H92" s="17" t="s">
        <v>3</v>
      </c>
      <c r="I92" s="481" t="s">
        <v>3</v>
      </c>
      <c r="J92" s="17" t="s">
        <v>3</v>
      </c>
      <c r="K92" s="481" t="s">
        <v>3</v>
      </c>
      <c r="L92" s="17" t="s">
        <v>3</v>
      </c>
      <c r="M92" s="17" t="s">
        <v>3</v>
      </c>
      <c r="N92" s="183">
        <f t="shared" si="14"/>
        <v>1</v>
      </c>
      <c r="O92" s="490">
        <f t="shared" si="14"/>
        <v>295.8</v>
      </c>
    </row>
    <row r="93" spans="1:15" ht="22.5" customHeight="1" thickBot="1">
      <c r="A93" s="520" t="s">
        <v>500</v>
      </c>
      <c r="B93" s="542">
        <v>1</v>
      </c>
      <c r="C93" s="543">
        <v>3338.7</v>
      </c>
      <c r="D93" s="542"/>
      <c r="E93" s="543"/>
      <c r="F93" s="542">
        <f>ApX!R68</f>
        <v>28</v>
      </c>
      <c r="G93" s="544">
        <f>ApX!S68</f>
        <v>2497.9</v>
      </c>
      <c r="H93" s="542">
        <f>ApVIII!R8</f>
        <v>0</v>
      </c>
      <c r="I93" s="543">
        <f>ApVIII!S8</f>
        <v>387.29999999999995</v>
      </c>
      <c r="J93" s="542">
        <f>ApXII!T36</f>
        <v>12</v>
      </c>
      <c r="K93" s="543">
        <f>ApXII!U36</f>
        <v>992.2</v>
      </c>
      <c r="L93" s="542">
        <f>22+6+3+6</f>
        <v>37</v>
      </c>
      <c r="M93" s="544">
        <f>931.1+1239.8+27+500.1</f>
        <v>2698</v>
      </c>
      <c r="N93" s="536">
        <f t="shared" si="14"/>
        <v>78</v>
      </c>
      <c r="O93" s="537">
        <f t="shared" si="14"/>
        <v>9914.1</v>
      </c>
    </row>
    <row r="94" spans="1:15" ht="22.5" thickBot="1">
      <c r="A94" s="545" t="s">
        <v>507</v>
      </c>
      <c r="B94" s="1075">
        <f aca="true" t="shared" si="15" ref="B94:O94">SUM(B5:B93)</f>
        <v>1116</v>
      </c>
      <c r="C94" s="1076">
        <f t="shared" si="15"/>
        <v>212174.00999999998</v>
      </c>
      <c r="D94" s="1075">
        <f t="shared" si="15"/>
        <v>129</v>
      </c>
      <c r="E94" s="1076">
        <f t="shared" si="15"/>
        <v>18930.6</v>
      </c>
      <c r="F94" s="1075">
        <f t="shared" si="15"/>
        <v>285</v>
      </c>
      <c r="G94" s="1076">
        <f t="shared" si="15"/>
        <v>38238.39999999999</v>
      </c>
      <c r="H94" s="1075">
        <f t="shared" si="15"/>
        <v>75</v>
      </c>
      <c r="I94" s="1076">
        <f t="shared" si="15"/>
        <v>4352.690000000001</v>
      </c>
      <c r="J94" s="1075">
        <f t="shared" si="15"/>
        <v>255</v>
      </c>
      <c r="K94" s="1076">
        <f t="shared" si="15"/>
        <v>19227.400000000005</v>
      </c>
      <c r="L94" s="1075">
        <f t="shared" si="15"/>
        <v>366</v>
      </c>
      <c r="M94" s="1076">
        <f t="shared" si="15"/>
        <v>35537.100000000006</v>
      </c>
      <c r="N94" s="1075">
        <f t="shared" si="15"/>
        <v>2226</v>
      </c>
      <c r="O94" s="549">
        <f t="shared" si="15"/>
        <v>328460.20000000007</v>
      </c>
    </row>
    <row r="95" spans="1:15" ht="20.25" customHeight="1">
      <c r="A95" s="9" t="s">
        <v>501</v>
      </c>
      <c r="B95" s="20"/>
      <c r="C95" s="482"/>
      <c r="D95" s="21"/>
      <c r="E95" s="482"/>
      <c r="F95" s="22"/>
      <c r="G95" s="390"/>
      <c r="H95" s="23"/>
      <c r="I95" s="482"/>
      <c r="J95" s="20"/>
      <c r="K95" s="482"/>
      <c r="L95" s="23"/>
      <c r="M95" s="23"/>
      <c r="N95" s="20"/>
      <c r="O95" s="390"/>
    </row>
    <row r="96" spans="1:12" ht="20.25" customHeight="1">
      <c r="A96" s="27" t="s">
        <v>502</v>
      </c>
      <c r="B96" s="20"/>
      <c r="C96" s="482"/>
      <c r="D96" s="21"/>
      <c r="E96" s="482"/>
      <c r="F96" s="22"/>
      <c r="J96" s="20"/>
      <c r="K96" s="482"/>
      <c r="L96" s="23"/>
    </row>
    <row r="97" spans="1:20" s="29" customFormat="1" ht="20.25" customHeight="1">
      <c r="A97" s="34" t="s">
        <v>503</v>
      </c>
      <c r="B97" s="28"/>
      <c r="C97" s="483"/>
      <c r="E97" s="483"/>
      <c r="F97" s="28"/>
      <c r="G97" s="488"/>
      <c r="I97" s="483"/>
      <c r="J97" s="28"/>
      <c r="K97" s="482"/>
      <c r="L97" s="30"/>
      <c r="M97" s="27"/>
      <c r="N97" s="28"/>
      <c r="O97" s="390"/>
      <c r="P97" s="65"/>
      <c r="Q97" s="65"/>
      <c r="R97" s="65"/>
      <c r="S97" s="65"/>
      <c r="T97" s="65"/>
    </row>
    <row r="98" spans="1:15" ht="20.25" customHeight="1">
      <c r="A98" s="9" t="s">
        <v>504</v>
      </c>
      <c r="N98" s="32"/>
      <c r="O98" s="390"/>
    </row>
    <row r="99" spans="1:2" ht="21.75">
      <c r="A99" s="138"/>
      <c r="B99" s="33"/>
    </row>
    <row r="100" spans="1:5" ht="21.75">
      <c r="A100" s="138"/>
      <c r="C100" s="482"/>
      <c r="D100" s="30"/>
      <c r="E100" s="482"/>
    </row>
    <row r="101" spans="1:3" ht="21.75">
      <c r="A101" s="138"/>
      <c r="C101" s="479"/>
    </row>
    <row r="102" spans="1:10" ht="21.75">
      <c r="A102" s="138"/>
      <c r="J102" s="25" t="s">
        <v>92</v>
      </c>
    </row>
    <row r="119" ht="21.75">
      <c r="F119" s="484"/>
    </row>
  </sheetData>
  <sheetProtection/>
  <mergeCells count="8">
    <mergeCell ref="A2:A3"/>
    <mergeCell ref="B2:C2"/>
    <mergeCell ref="F2:G2"/>
    <mergeCell ref="D2:E2"/>
    <mergeCell ref="J2:K2"/>
    <mergeCell ref="N2:O2"/>
    <mergeCell ref="L2:M2"/>
    <mergeCell ref="H2:I2"/>
  </mergeCells>
  <printOptions horizontalCentered="1"/>
  <pageMargins left="0.43" right="0.407480315" top="0" bottom="0" header="0.45" footer="0.28"/>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4"/>
  </sheetPr>
  <dimension ref="A1:BS138"/>
  <sheetViews>
    <sheetView zoomScalePageLayoutView="0" workbookViewId="0" topLeftCell="A1">
      <pane xSplit="1" ySplit="4" topLeftCell="B56" activePane="bottomRight" state="frozen"/>
      <selection pane="topLeft" activeCell="A1" sqref="A1"/>
      <selection pane="topRight" activeCell="B1" sqref="B1"/>
      <selection pane="bottomLeft" activeCell="A5" sqref="A5"/>
      <selection pane="bottomRight" activeCell="A31" sqref="A31"/>
    </sheetView>
  </sheetViews>
  <sheetFormatPr defaultColWidth="9.140625" defaultRowHeight="12.75"/>
  <cols>
    <col min="1" max="1" width="26.28125" style="114" customWidth="1"/>
    <col min="2" max="2" width="4.8515625" style="114" customWidth="1"/>
    <col min="3" max="3" width="9.421875" style="293" customWidth="1"/>
    <col min="4" max="4" width="5.00390625" style="114" bestFit="1" customWidth="1"/>
    <col min="5" max="5" width="8.421875" style="293" customWidth="1"/>
    <col min="6" max="6" width="5.57421875" style="114" customWidth="1"/>
    <col min="7" max="7" width="8.28125" style="293" bestFit="1" customWidth="1"/>
    <col min="8" max="8" width="5.28125" style="114" customWidth="1"/>
    <col min="9" max="9" width="8.28125" style="293" bestFit="1" customWidth="1"/>
    <col min="10" max="10" width="4.28125" style="114" customWidth="1"/>
    <col min="11" max="11" width="8.28125" style="293" bestFit="1" customWidth="1"/>
    <col min="12" max="12" width="5.00390625" style="114" customWidth="1"/>
    <col min="13" max="13" width="8.28125" style="293" bestFit="1" customWidth="1"/>
    <col min="14" max="14" width="5.00390625" style="114" bestFit="1" customWidth="1"/>
    <col min="15" max="15" width="6.7109375" style="114" bestFit="1" customWidth="1"/>
    <col min="16" max="16" width="6.28125" style="114" customWidth="1"/>
    <col min="17" max="17" width="8.140625" style="114" customWidth="1"/>
    <col min="18" max="18" width="6.28125" style="192" customWidth="1"/>
    <col min="19" max="19" width="10.28125" style="191" customWidth="1"/>
    <col min="20" max="26" width="10.8515625" style="191" customWidth="1"/>
    <col min="27" max="40" width="11.421875" style="57" customWidth="1"/>
    <col min="41" max="41" width="17.421875" style="0" customWidth="1"/>
    <col min="42" max="42" width="5.00390625" style="0" customWidth="1"/>
    <col min="44" max="44" width="4.7109375" style="0" customWidth="1"/>
    <col min="45" max="45" width="7.7109375" style="0" customWidth="1"/>
    <col min="46" max="46" width="4.7109375" style="0" customWidth="1"/>
    <col min="47" max="47" width="8.140625" style="0" customWidth="1"/>
    <col min="48" max="48" width="4.7109375" style="0" customWidth="1"/>
    <col min="49" max="49" width="8.140625" style="0" customWidth="1"/>
    <col min="50" max="50" width="4.7109375" style="0" customWidth="1"/>
    <col min="51" max="51" width="7.7109375" style="0" customWidth="1"/>
    <col min="52" max="52" width="4.00390625" style="0" customWidth="1"/>
    <col min="53" max="53" width="7.28125" style="0" customWidth="1"/>
    <col min="54" max="54" width="4.7109375" style="0" customWidth="1"/>
    <col min="55" max="55" width="8.28125" style="0" customWidth="1"/>
    <col min="56" max="56" width="4.7109375" style="0" customWidth="1"/>
    <col min="57" max="57" width="8.7109375" style="0" customWidth="1"/>
    <col min="58" max="58" width="4.7109375" style="0" customWidth="1"/>
    <col min="59" max="59" width="8.28125" style="0" customWidth="1"/>
    <col min="60" max="60" width="4.7109375" style="0" customWidth="1"/>
    <col min="62" max="62" width="4.7109375" style="0" customWidth="1"/>
    <col min="72" max="16384" width="9.140625" style="114" customWidth="1"/>
  </cols>
  <sheetData>
    <row r="1" spans="1:71" s="59" customFormat="1" ht="25.5" customHeight="1" thickBot="1">
      <c r="A1" s="185" t="s">
        <v>535</v>
      </c>
      <c r="B1" s="113"/>
      <c r="C1" s="290"/>
      <c r="D1" s="113"/>
      <c r="E1" s="290"/>
      <c r="F1" s="113"/>
      <c r="G1" s="290"/>
      <c r="H1" s="113"/>
      <c r="I1" s="290"/>
      <c r="J1" s="113"/>
      <c r="K1" s="290"/>
      <c r="L1" s="113"/>
      <c r="M1" s="290"/>
      <c r="N1" s="74"/>
      <c r="O1" s="583" t="s">
        <v>483</v>
      </c>
      <c r="P1" s="74"/>
      <c r="Q1" s="39"/>
      <c r="R1" s="192"/>
      <c r="S1" s="191"/>
      <c r="T1" s="191"/>
      <c r="U1" s="191"/>
      <c r="V1" s="191"/>
      <c r="W1" s="191"/>
      <c r="X1" s="191"/>
      <c r="Y1" s="191"/>
      <c r="Z1" s="191"/>
      <c r="AA1" s="57"/>
      <c r="AB1" s="57"/>
      <c r="AC1" s="57"/>
      <c r="AD1" s="57"/>
      <c r="AE1" s="57"/>
      <c r="AF1" s="57"/>
      <c r="AG1" s="57"/>
      <c r="AH1" s="57"/>
      <c r="AI1" s="57"/>
      <c r="AJ1" s="57"/>
      <c r="AK1" s="57"/>
      <c r="AL1" s="57"/>
      <c r="AM1" s="57"/>
      <c r="AN1" s="57"/>
      <c r="AO1"/>
      <c r="AP1"/>
      <c r="AQ1"/>
      <c r="AR1"/>
      <c r="AS1"/>
      <c r="AT1"/>
      <c r="AU1"/>
      <c r="AV1"/>
      <c r="AW1"/>
      <c r="AX1"/>
      <c r="AY1"/>
      <c r="AZ1"/>
      <c r="BA1"/>
      <c r="BB1"/>
      <c r="BC1"/>
      <c r="BD1"/>
      <c r="BE1"/>
      <c r="BF1"/>
      <c r="BG1"/>
      <c r="BH1"/>
      <c r="BI1"/>
      <c r="BJ1"/>
      <c r="BK1"/>
      <c r="BL1"/>
      <c r="BM1"/>
      <c r="BN1"/>
      <c r="BO1"/>
      <c r="BP1"/>
      <c r="BQ1"/>
      <c r="BR1"/>
      <c r="BS1"/>
    </row>
    <row r="2" spans="1:49" s="8" customFormat="1" ht="74.25" customHeight="1" thickBot="1">
      <c r="A2" s="1204" t="s">
        <v>473</v>
      </c>
      <c r="B2" s="1206" t="s">
        <v>50</v>
      </c>
      <c r="C2" s="1206"/>
      <c r="D2" s="1207" t="s">
        <v>64</v>
      </c>
      <c r="E2" s="1207"/>
      <c r="F2" s="1207" t="s">
        <v>111</v>
      </c>
      <c r="G2" s="1207"/>
      <c r="H2" s="1209" t="s">
        <v>56</v>
      </c>
      <c r="I2" s="1209"/>
      <c r="J2" s="1207" t="s">
        <v>57</v>
      </c>
      <c r="K2" s="1207"/>
      <c r="L2" s="1210" t="s">
        <v>58</v>
      </c>
      <c r="M2" s="1210"/>
      <c r="N2" s="1209" t="s">
        <v>59</v>
      </c>
      <c r="O2" s="1209"/>
      <c r="P2" s="1209" t="s">
        <v>60</v>
      </c>
      <c r="Q2" s="1209"/>
      <c r="R2" s="1208" t="s">
        <v>481</v>
      </c>
      <c r="S2" s="1208"/>
      <c r="T2"/>
      <c r="U2"/>
      <c r="V2"/>
      <c r="W2"/>
      <c r="X2"/>
      <c r="Y2"/>
      <c r="Z2"/>
      <c r="AA2"/>
      <c r="AB2"/>
      <c r="AC2"/>
      <c r="AD2"/>
      <c r="AE2"/>
      <c r="AF2"/>
      <c r="AG2"/>
      <c r="AH2"/>
      <c r="AI2"/>
      <c r="AJ2"/>
      <c r="AK2"/>
      <c r="AL2"/>
      <c r="AM2"/>
      <c r="AN2"/>
      <c r="AO2"/>
      <c r="AP2"/>
      <c r="AQ2"/>
      <c r="AR2"/>
      <c r="AS2"/>
      <c r="AT2"/>
      <c r="AU2"/>
      <c r="AV2"/>
      <c r="AW2"/>
    </row>
    <row r="3" spans="1:49" s="125" customFormat="1" ht="28.5" customHeight="1" thickBot="1">
      <c r="A3" s="1205"/>
      <c r="B3" s="1121" t="s">
        <v>474</v>
      </c>
      <c r="C3" s="1122" t="s">
        <v>475</v>
      </c>
      <c r="D3" s="1121" t="s">
        <v>474</v>
      </c>
      <c r="E3" s="1122" t="s">
        <v>475</v>
      </c>
      <c r="F3" s="1121" t="s">
        <v>474</v>
      </c>
      <c r="G3" s="1122" t="s">
        <v>475</v>
      </c>
      <c r="H3" s="1121" t="s">
        <v>474</v>
      </c>
      <c r="I3" s="1122" t="s">
        <v>475</v>
      </c>
      <c r="J3" s="1121" t="s">
        <v>474</v>
      </c>
      <c r="K3" s="1122" t="s">
        <v>475</v>
      </c>
      <c r="L3" s="1121" t="s">
        <v>474</v>
      </c>
      <c r="M3" s="1122" t="s">
        <v>475</v>
      </c>
      <c r="N3" s="1121" t="s">
        <v>474</v>
      </c>
      <c r="O3" s="1122" t="s">
        <v>475</v>
      </c>
      <c r="P3" s="1121" t="s">
        <v>474</v>
      </c>
      <c r="Q3" s="1122" t="s">
        <v>475</v>
      </c>
      <c r="R3" s="1121" t="s">
        <v>474</v>
      </c>
      <c r="S3" s="1122" t="s">
        <v>475</v>
      </c>
      <c r="T3"/>
      <c r="U3"/>
      <c r="V3"/>
      <c r="W3"/>
      <c r="X3"/>
      <c r="Y3"/>
      <c r="Z3"/>
      <c r="AA3"/>
      <c r="AB3"/>
      <c r="AC3"/>
      <c r="AD3"/>
      <c r="AE3"/>
      <c r="AF3"/>
      <c r="AG3"/>
      <c r="AH3"/>
      <c r="AI3"/>
      <c r="AJ3"/>
      <c r="AK3"/>
      <c r="AL3"/>
      <c r="AM3"/>
      <c r="AN3"/>
      <c r="AO3"/>
      <c r="AP3"/>
      <c r="AQ3"/>
      <c r="AR3"/>
      <c r="AS3"/>
      <c r="AT3"/>
      <c r="AU3"/>
      <c r="AV3"/>
      <c r="AW3"/>
    </row>
    <row r="4" spans="1:49" s="125" customFormat="1" ht="23.25" customHeight="1">
      <c r="A4" s="1094" t="s">
        <v>480</v>
      </c>
      <c r="B4" s="127"/>
      <c r="C4" s="321"/>
      <c r="D4" s="127"/>
      <c r="E4" s="321"/>
      <c r="F4" s="127"/>
      <c r="G4" s="328"/>
      <c r="H4" s="128"/>
      <c r="I4" s="328"/>
      <c r="J4" s="127"/>
      <c r="K4" s="328"/>
      <c r="L4" s="127"/>
      <c r="M4" s="328"/>
      <c r="N4" s="128"/>
      <c r="O4" s="328"/>
      <c r="P4" s="127"/>
      <c r="Q4" s="328"/>
      <c r="R4" s="126"/>
      <c r="S4" s="332"/>
      <c r="T4"/>
      <c r="U4"/>
      <c r="V4"/>
      <c r="W4"/>
      <c r="X4"/>
      <c r="Y4"/>
      <c r="Z4"/>
      <c r="AA4"/>
      <c r="AB4"/>
      <c r="AC4"/>
      <c r="AD4"/>
      <c r="AE4"/>
      <c r="AF4"/>
      <c r="AG4"/>
      <c r="AH4"/>
      <c r="AI4"/>
      <c r="AJ4"/>
      <c r="AK4"/>
      <c r="AL4"/>
      <c r="AM4"/>
      <c r="AN4"/>
      <c r="AO4"/>
      <c r="AP4"/>
      <c r="AQ4"/>
      <c r="AR4"/>
      <c r="AS4"/>
      <c r="AT4"/>
      <c r="AU4"/>
      <c r="AV4"/>
      <c r="AW4"/>
    </row>
    <row r="5" spans="1:49" s="125" customFormat="1" ht="19.5" customHeight="1">
      <c r="A5" s="129" t="s">
        <v>65</v>
      </c>
      <c r="B5" s="174">
        <v>2</v>
      </c>
      <c r="C5" s="322">
        <v>200.5</v>
      </c>
      <c r="D5" s="174">
        <v>4</v>
      </c>
      <c r="E5" s="322">
        <v>573.6</v>
      </c>
      <c r="F5" s="174"/>
      <c r="G5" s="322"/>
      <c r="H5" s="174">
        <v>1</v>
      </c>
      <c r="I5" s="322">
        <v>69.3</v>
      </c>
      <c r="J5" s="174">
        <v>1</v>
      </c>
      <c r="K5" s="322">
        <v>96.3</v>
      </c>
      <c r="L5" s="174">
        <v>4</v>
      </c>
      <c r="M5" s="322">
        <v>412.9</v>
      </c>
      <c r="N5" s="174"/>
      <c r="O5" s="322"/>
      <c r="P5" s="174">
        <v>1</v>
      </c>
      <c r="Q5" s="322">
        <v>174.1</v>
      </c>
      <c r="R5" s="176">
        <f aca="true" t="shared" si="0" ref="R5:S8">SUM(B5,J5,N5,D5,F5,H5,L5,P5)</f>
        <v>13</v>
      </c>
      <c r="S5" s="823">
        <f t="shared" si="0"/>
        <v>1526.6999999999998</v>
      </c>
      <c r="T5"/>
      <c r="U5"/>
      <c r="V5"/>
      <c r="W5"/>
      <c r="X5"/>
      <c r="Y5"/>
      <c r="Z5"/>
      <c r="AA5"/>
      <c r="AB5"/>
      <c r="AC5"/>
      <c r="AD5"/>
      <c r="AE5"/>
      <c r="AF5"/>
      <c r="AG5"/>
      <c r="AH5"/>
      <c r="AI5"/>
      <c r="AJ5"/>
      <c r="AK5"/>
      <c r="AL5"/>
      <c r="AM5"/>
      <c r="AN5"/>
      <c r="AO5"/>
      <c r="AP5"/>
      <c r="AQ5"/>
      <c r="AR5"/>
      <c r="AS5"/>
      <c r="AT5"/>
      <c r="AU5"/>
      <c r="AV5"/>
      <c r="AW5"/>
    </row>
    <row r="6" spans="1:49" s="125" customFormat="1" ht="19.5" customHeight="1">
      <c r="A6" s="129" t="s">
        <v>66</v>
      </c>
      <c r="B6" s="174">
        <v>1</v>
      </c>
      <c r="C6" s="322">
        <v>98.6</v>
      </c>
      <c r="D6" s="174">
        <v>4</v>
      </c>
      <c r="E6" s="322">
        <v>573.6</v>
      </c>
      <c r="F6" s="174"/>
      <c r="G6" s="322"/>
      <c r="H6" s="174"/>
      <c r="I6" s="322"/>
      <c r="J6" s="174"/>
      <c r="K6" s="322"/>
      <c r="L6" s="174"/>
      <c r="M6" s="322"/>
      <c r="N6" s="174"/>
      <c r="O6" s="322"/>
      <c r="P6" s="174"/>
      <c r="Q6" s="322"/>
      <c r="R6" s="176">
        <f t="shared" si="0"/>
        <v>5</v>
      </c>
      <c r="S6" s="823">
        <f t="shared" si="0"/>
        <v>672.2</v>
      </c>
      <c r="T6"/>
      <c r="U6"/>
      <c r="V6"/>
      <c r="W6"/>
      <c r="X6"/>
      <c r="Y6"/>
      <c r="Z6"/>
      <c r="AA6"/>
      <c r="AB6"/>
      <c r="AC6"/>
      <c r="AD6"/>
      <c r="AE6"/>
      <c r="AF6"/>
      <c r="AG6"/>
      <c r="AH6"/>
      <c r="AI6"/>
      <c r="AJ6"/>
      <c r="AK6"/>
      <c r="AL6"/>
      <c r="AM6"/>
      <c r="AN6"/>
      <c r="AO6"/>
      <c r="AP6"/>
      <c r="AQ6"/>
      <c r="AR6"/>
      <c r="AS6"/>
      <c r="AT6"/>
      <c r="AU6"/>
      <c r="AV6"/>
      <c r="AW6"/>
    </row>
    <row r="7" spans="1:49" s="125" customFormat="1" ht="19.5" customHeight="1">
      <c r="A7" s="129" t="s">
        <v>67</v>
      </c>
      <c r="B7" s="174">
        <v>6</v>
      </c>
      <c r="C7" s="322">
        <v>617.1</v>
      </c>
      <c r="D7" s="174">
        <v>2</v>
      </c>
      <c r="E7" s="322">
        <v>286.8</v>
      </c>
      <c r="F7" s="174"/>
      <c r="G7" s="322"/>
      <c r="H7" s="174"/>
      <c r="I7" s="322"/>
      <c r="J7" s="174">
        <v>1</v>
      </c>
      <c r="K7" s="322">
        <v>100.8</v>
      </c>
      <c r="L7" s="174">
        <v>6</v>
      </c>
      <c r="M7" s="322">
        <v>593.6</v>
      </c>
      <c r="N7" s="174"/>
      <c r="O7" s="322"/>
      <c r="P7" s="174">
        <v>1</v>
      </c>
      <c r="Q7" s="322">
        <v>172.6</v>
      </c>
      <c r="R7" s="176">
        <f t="shared" si="0"/>
        <v>16</v>
      </c>
      <c r="S7" s="823">
        <f t="shared" si="0"/>
        <v>1770.9</v>
      </c>
      <c r="T7"/>
      <c r="U7"/>
      <c r="V7"/>
      <c r="W7"/>
      <c r="X7"/>
      <c r="Y7"/>
      <c r="Z7"/>
      <c r="AA7"/>
      <c r="AB7"/>
      <c r="AC7"/>
      <c r="AD7"/>
      <c r="AE7"/>
      <c r="AF7"/>
      <c r="AG7"/>
      <c r="AH7"/>
      <c r="AI7"/>
      <c r="AJ7"/>
      <c r="AK7"/>
      <c r="AL7"/>
      <c r="AM7"/>
      <c r="AN7"/>
      <c r="AO7"/>
      <c r="AP7"/>
      <c r="AQ7"/>
      <c r="AR7"/>
      <c r="AS7"/>
      <c r="AT7"/>
      <c r="AU7"/>
      <c r="AV7"/>
      <c r="AW7"/>
    </row>
    <row r="8" spans="1:49" s="125" customFormat="1" ht="19.5" customHeight="1">
      <c r="A8" s="130" t="s">
        <v>68</v>
      </c>
      <c r="B8" s="335"/>
      <c r="C8" s="336"/>
      <c r="D8" s="335">
        <v>4</v>
      </c>
      <c r="E8" s="336">
        <v>573.6</v>
      </c>
      <c r="F8" s="335"/>
      <c r="G8" s="336"/>
      <c r="H8" s="335"/>
      <c r="I8" s="336"/>
      <c r="J8" s="335"/>
      <c r="K8" s="336"/>
      <c r="L8" s="335"/>
      <c r="M8" s="336"/>
      <c r="N8" s="335"/>
      <c r="O8" s="336"/>
      <c r="P8" s="335"/>
      <c r="Q8" s="336"/>
      <c r="R8" s="176">
        <f t="shared" si="0"/>
        <v>4</v>
      </c>
      <c r="S8" s="823">
        <f t="shared" si="0"/>
        <v>573.6</v>
      </c>
      <c r="T8"/>
      <c r="U8"/>
      <c r="V8"/>
      <c r="W8"/>
      <c r="X8"/>
      <c r="Y8"/>
      <c r="Z8"/>
      <c r="AA8"/>
      <c r="AB8"/>
      <c r="AC8"/>
      <c r="AD8"/>
      <c r="AE8"/>
      <c r="AF8"/>
      <c r="AG8"/>
      <c r="AH8"/>
      <c r="AI8"/>
      <c r="AJ8"/>
      <c r="AK8"/>
      <c r="AL8"/>
      <c r="AM8"/>
      <c r="AN8"/>
      <c r="AO8"/>
      <c r="AP8"/>
      <c r="AQ8"/>
      <c r="AR8"/>
      <c r="AS8"/>
      <c r="AT8"/>
      <c r="AU8"/>
      <c r="AV8"/>
      <c r="AW8"/>
    </row>
    <row r="9" spans="1:49" s="125" customFormat="1" ht="23.25" customHeight="1">
      <c r="A9" s="1100" t="s">
        <v>492</v>
      </c>
      <c r="B9" s="179"/>
      <c r="C9" s="323"/>
      <c r="D9" s="179"/>
      <c r="E9" s="323"/>
      <c r="F9" s="179"/>
      <c r="G9" s="323"/>
      <c r="H9" s="179"/>
      <c r="I9" s="323"/>
      <c r="J9" s="179"/>
      <c r="K9" s="323"/>
      <c r="L9" s="179"/>
      <c r="M9" s="323"/>
      <c r="N9" s="179"/>
      <c r="O9" s="323"/>
      <c r="P9" s="179"/>
      <c r="Q9" s="323"/>
      <c r="R9" s="177"/>
      <c r="S9" s="334"/>
      <c r="T9"/>
      <c r="U9"/>
      <c r="V9"/>
      <c r="W9"/>
      <c r="X9"/>
      <c r="Y9"/>
      <c r="Z9"/>
      <c r="AA9"/>
      <c r="AB9"/>
      <c r="AC9"/>
      <c r="AD9"/>
      <c r="AE9"/>
      <c r="AF9"/>
      <c r="AG9"/>
      <c r="AH9"/>
      <c r="AI9"/>
      <c r="AJ9"/>
      <c r="AK9"/>
      <c r="AL9"/>
      <c r="AM9"/>
      <c r="AN9"/>
      <c r="AO9"/>
      <c r="AP9"/>
      <c r="AQ9"/>
      <c r="AR9"/>
      <c r="AS9"/>
      <c r="AT9"/>
      <c r="AU9"/>
      <c r="AV9"/>
      <c r="AW9"/>
    </row>
    <row r="10" spans="1:49" s="125" customFormat="1" ht="19.5" customHeight="1">
      <c r="A10" s="129" t="s">
        <v>74</v>
      </c>
      <c r="B10" s="174">
        <v>1</v>
      </c>
      <c r="C10" s="322">
        <v>134</v>
      </c>
      <c r="D10" s="174"/>
      <c r="E10" s="322"/>
      <c r="F10" s="174"/>
      <c r="G10" s="322"/>
      <c r="H10" s="174">
        <v>2</v>
      </c>
      <c r="I10" s="322">
        <v>122.3</v>
      </c>
      <c r="J10" s="174">
        <v>1</v>
      </c>
      <c r="K10" s="322">
        <v>102.6</v>
      </c>
      <c r="L10" s="174"/>
      <c r="M10" s="322"/>
      <c r="N10" s="174"/>
      <c r="O10" s="322"/>
      <c r="P10" s="174"/>
      <c r="Q10" s="322"/>
      <c r="R10" s="176">
        <f aca="true" t="shared" si="1" ref="R10:S13">SUM(B10,J10,N10,D10,F10,H10,L10,P10)</f>
        <v>4</v>
      </c>
      <c r="S10" s="823">
        <f t="shared" si="1"/>
        <v>358.9</v>
      </c>
      <c r="T10"/>
      <c r="U10"/>
      <c r="V10"/>
      <c r="W10"/>
      <c r="X10"/>
      <c r="Y10"/>
      <c r="Z10"/>
      <c r="AA10"/>
      <c r="AB10"/>
      <c r="AC10"/>
      <c r="AD10"/>
      <c r="AE10"/>
      <c r="AF10"/>
      <c r="AG10"/>
      <c r="AH10"/>
      <c r="AI10"/>
      <c r="AJ10"/>
      <c r="AK10"/>
      <c r="AL10"/>
      <c r="AM10"/>
      <c r="AN10"/>
      <c r="AO10"/>
      <c r="AP10"/>
      <c r="AQ10"/>
      <c r="AR10"/>
      <c r="AS10"/>
      <c r="AT10"/>
      <c r="AU10"/>
      <c r="AV10"/>
      <c r="AW10"/>
    </row>
    <row r="11" spans="1:49" s="125" customFormat="1" ht="19.5" customHeight="1">
      <c r="A11" s="129" t="s">
        <v>94</v>
      </c>
      <c r="B11" s="174"/>
      <c r="C11" s="322"/>
      <c r="D11" s="174"/>
      <c r="E11" s="322"/>
      <c r="F11" s="174"/>
      <c r="G11" s="322"/>
      <c r="H11" s="174">
        <v>1</v>
      </c>
      <c r="I11" s="322">
        <v>44.6</v>
      </c>
      <c r="J11" s="174"/>
      <c r="K11" s="322"/>
      <c r="L11" s="174">
        <v>4</v>
      </c>
      <c r="M11" s="322">
        <v>377.1</v>
      </c>
      <c r="N11" s="174"/>
      <c r="O11" s="322"/>
      <c r="P11" s="174"/>
      <c r="Q11" s="322"/>
      <c r="R11" s="176">
        <f t="shared" si="1"/>
        <v>5</v>
      </c>
      <c r="S11" s="823">
        <f t="shared" si="1"/>
        <v>421.70000000000005</v>
      </c>
      <c r="T11"/>
      <c r="U11"/>
      <c r="V11"/>
      <c r="W11"/>
      <c r="X11"/>
      <c r="Y11"/>
      <c r="Z11"/>
      <c r="AA11"/>
      <c r="AB11"/>
      <c r="AC11"/>
      <c r="AD11"/>
      <c r="AE11"/>
      <c r="AF11"/>
      <c r="AG11"/>
      <c r="AH11"/>
      <c r="AI11"/>
      <c r="AJ11"/>
      <c r="AK11"/>
      <c r="AL11"/>
      <c r="AM11"/>
      <c r="AN11"/>
      <c r="AO11"/>
      <c r="AP11"/>
      <c r="AQ11"/>
      <c r="AR11"/>
      <c r="AS11"/>
      <c r="AT11"/>
      <c r="AU11"/>
      <c r="AV11"/>
      <c r="AW11"/>
    </row>
    <row r="12" spans="1:49" s="125" customFormat="1" ht="19.5" customHeight="1">
      <c r="A12" s="129" t="s">
        <v>75</v>
      </c>
      <c r="B12" s="174">
        <v>2</v>
      </c>
      <c r="C12" s="322">
        <v>204.3</v>
      </c>
      <c r="D12" s="174"/>
      <c r="E12" s="322"/>
      <c r="F12" s="174"/>
      <c r="G12" s="322"/>
      <c r="H12" s="174">
        <v>4</v>
      </c>
      <c r="I12" s="322">
        <v>282.1</v>
      </c>
      <c r="J12" s="174"/>
      <c r="K12" s="322"/>
      <c r="L12" s="174">
        <v>4</v>
      </c>
      <c r="M12" s="322">
        <v>432.3</v>
      </c>
      <c r="N12" s="174"/>
      <c r="O12" s="322"/>
      <c r="P12" s="174">
        <v>1</v>
      </c>
      <c r="Q12" s="322">
        <v>187.2</v>
      </c>
      <c r="R12" s="176">
        <f t="shared" si="1"/>
        <v>11</v>
      </c>
      <c r="S12" s="823">
        <f t="shared" si="1"/>
        <v>1105.9</v>
      </c>
      <c r="T12"/>
      <c r="U12"/>
      <c r="V12"/>
      <c r="W12"/>
      <c r="X12"/>
      <c r="Y12"/>
      <c r="Z12"/>
      <c r="AA12"/>
      <c r="AB12"/>
      <c r="AC12"/>
      <c r="AD12"/>
      <c r="AE12"/>
      <c r="AF12"/>
      <c r="AG12"/>
      <c r="AH12"/>
      <c r="AI12"/>
      <c r="AJ12"/>
      <c r="AK12"/>
      <c r="AL12"/>
      <c r="AM12"/>
      <c r="AN12"/>
      <c r="AO12"/>
      <c r="AP12"/>
      <c r="AQ12"/>
      <c r="AR12"/>
      <c r="AS12"/>
      <c r="AT12"/>
      <c r="AU12"/>
      <c r="AV12"/>
      <c r="AW12"/>
    </row>
    <row r="13" spans="1:49" s="125" customFormat="1" ht="19.5" customHeight="1">
      <c r="A13" s="16" t="s">
        <v>70</v>
      </c>
      <c r="B13" s="335">
        <v>2</v>
      </c>
      <c r="C13" s="336">
        <v>283.2</v>
      </c>
      <c r="D13" s="335"/>
      <c r="E13" s="336"/>
      <c r="F13" s="335"/>
      <c r="G13" s="336"/>
      <c r="H13" s="335">
        <v>1</v>
      </c>
      <c r="I13" s="336">
        <v>85.5</v>
      </c>
      <c r="J13" s="335"/>
      <c r="K13" s="336"/>
      <c r="L13" s="335">
        <v>1</v>
      </c>
      <c r="M13" s="336">
        <v>94.6</v>
      </c>
      <c r="N13" s="335"/>
      <c r="O13" s="336"/>
      <c r="P13" s="335">
        <v>1</v>
      </c>
      <c r="Q13" s="336">
        <v>199.6</v>
      </c>
      <c r="R13" s="176">
        <f t="shared" si="1"/>
        <v>5</v>
      </c>
      <c r="S13" s="823">
        <f t="shared" si="1"/>
        <v>662.9</v>
      </c>
      <c r="T13"/>
      <c r="U13"/>
      <c r="V13"/>
      <c r="W13"/>
      <c r="X13"/>
      <c r="Y13"/>
      <c r="Z13"/>
      <c r="AA13"/>
      <c r="AB13"/>
      <c r="AC13"/>
      <c r="AD13"/>
      <c r="AE13"/>
      <c r="AF13"/>
      <c r="AG13"/>
      <c r="AH13"/>
      <c r="AI13"/>
      <c r="AJ13"/>
      <c r="AK13"/>
      <c r="AL13"/>
      <c r="AM13"/>
      <c r="AN13"/>
      <c r="AO13"/>
      <c r="AP13"/>
      <c r="AQ13"/>
      <c r="AR13"/>
      <c r="AS13"/>
      <c r="AT13"/>
      <c r="AU13"/>
      <c r="AV13"/>
      <c r="AW13"/>
    </row>
    <row r="14" spans="1:49" s="125" customFormat="1" ht="23.25" customHeight="1">
      <c r="A14" s="1094" t="s">
        <v>493</v>
      </c>
      <c r="B14" s="179"/>
      <c r="C14" s="323"/>
      <c r="D14" s="179"/>
      <c r="E14" s="323"/>
      <c r="F14" s="179"/>
      <c r="G14" s="323"/>
      <c r="H14" s="179"/>
      <c r="I14" s="323"/>
      <c r="J14" s="179"/>
      <c r="K14" s="323"/>
      <c r="L14" s="179"/>
      <c r="M14" s="323"/>
      <c r="N14" s="179"/>
      <c r="O14" s="323"/>
      <c r="P14" s="179"/>
      <c r="Q14" s="323"/>
      <c r="R14" s="177"/>
      <c r="S14" s="334"/>
      <c r="T14"/>
      <c r="U14"/>
      <c r="V14"/>
      <c r="W14"/>
      <c r="X14"/>
      <c r="Y14"/>
      <c r="Z14"/>
      <c r="AA14"/>
      <c r="AB14"/>
      <c r="AC14"/>
      <c r="AD14"/>
      <c r="AE14"/>
      <c r="AF14"/>
      <c r="AG14"/>
      <c r="AH14"/>
      <c r="AI14"/>
      <c r="AJ14"/>
      <c r="AK14"/>
      <c r="AL14"/>
      <c r="AM14"/>
      <c r="AN14"/>
      <c r="AO14"/>
      <c r="AP14"/>
      <c r="AQ14"/>
      <c r="AR14"/>
      <c r="AS14"/>
      <c r="AT14"/>
      <c r="AU14"/>
      <c r="AV14"/>
      <c r="AW14"/>
    </row>
    <row r="15" spans="1:49" s="125" customFormat="1" ht="20.25" customHeight="1">
      <c r="A15" s="129" t="s">
        <v>73</v>
      </c>
      <c r="B15" s="174">
        <v>2</v>
      </c>
      <c r="C15" s="322">
        <v>218.6</v>
      </c>
      <c r="D15" s="174">
        <v>4</v>
      </c>
      <c r="E15" s="322">
        <v>573.6</v>
      </c>
      <c r="F15" s="174"/>
      <c r="G15" s="322"/>
      <c r="H15" s="174"/>
      <c r="I15" s="322"/>
      <c r="J15" s="174"/>
      <c r="K15" s="322"/>
      <c r="L15" s="174"/>
      <c r="M15" s="322"/>
      <c r="N15" s="174"/>
      <c r="O15" s="322"/>
      <c r="P15" s="174"/>
      <c r="Q15" s="322"/>
      <c r="R15" s="176">
        <f>SUM(B15,J15,N15,D15,F15,H15,L15,P15)</f>
        <v>6</v>
      </c>
      <c r="S15" s="823">
        <f>SUM(C15,K15,O15,E15,G15,I15,M15,Q15)</f>
        <v>792.2</v>
      </c>
      <c r="T15"/>
      <c r="U15"/>
      <c r="V15"/>
      <c r="W15"/>
      <c r="X15"/>
      <c r="Y15"/>
      <c r="Z15"/>
      <c r="AA15"/>
      <c r="AB15"/>
      <c r="AC15"/>
      <c r="AD15"/>
      <c r="AE15"/>
      <c r="AF15"/>
      <c r="AG15"/>
      <c r="AH15"/>
      <c r="AI15"/>
      <c r="AJ15"/>
      <c r="AK15"/>
      <c r="AL15"/>
      <c r="AM15"/>
      <c r="AN15"/>
      <c r="AO15"/>
      <c r="AP15"/>
      <c r="AQ15"/>
      <c r="AR15"/>
      <c r="AS15"/>
      <c r="AT15"/>
      <c r="AU15"/>
      <c r="AV15"/>
      <c r="AW15"/>
    </row>
    <row r="16" spans="1:49" s="125" customFormat="1" ht="20.25" customHeight="1">
      <c r="A16" s="130" t="s">
        <v>69</v>
      </c>
      <c r="B16" s="335">
        <v>4</v>
      </c>
      <c r="C16" s="336">
        <v>662.5</v>
      </c>
      <c r="D16" s="335"/>
      <c r="E16" s="336"/>
      <c r="F16" s="335"/>
      <c r="G16" s="336"/>
      <c r="H16" s="335">
        <v>1</v>
      </c>
      <c r="I16" s="336">
        <v>125.1</v>
      </c>
      <c r="J16" s="335"/>
      <c r="K16" s="336"/>
      <c r="L16" s="335">
        <v>2</v>
      </c>
      <c r="M16" s="336">
        <v>295.4</v>
      </c>
      <c r="N16" s="335"/>
      <c r="O16" s="336"/>
      <c r="P16" s="335">
        <v>1</v>
      </c>
      <c r="Q16" s="336">
        <v>225.5</v>
      </c>
      <c r="R16" s="337">
        <f>SUM(B16,J16,N16,D16,F16,H16,L16,P16)</f>
        <v>8</v>
      </c>
      <c r="S16" s="825">
        <f>SUM(C16,K16,O16,E16,G16,I16,M16,Q16)</f>
        <v>1308.5</v>
      </c>
      <c r="T16"/>
      <c r="U16"/>
      <c r="V16"/>
      <c r="W16"/>
      <c r="X16"/>
      <c r="Y16"/>
      <c r="Z16"/>
      <c r="AA16"/>
      <c r="AB16"/>
      <c r="AC16"/>
      <c r="AD16"/>
      <c r="AE16"/>
      <c r="AF16"/>
      <c r="AG16"/>
      <c r="AH16"/>
      <c r="AI16"/>
      <c r="AJ16"/>
      <c r="AK16"/>
      <c r="AL16"/>
      <c r="AM16"/>
      <c r="AN16"/>
      <c r="AO16"/>
      <c r="AP16"/>
      <c r="AQ16"/>
      <c r="AR16"/>
      <c r="AS16"/>
      <c r="AT16"/>
      <c r="AU16"/>
      <c r="AV16"/>
      <c r="AW16"/>
    </row>
    <row r="17" spans="1:49" s="125" customFormat="1" ht="23.25" customHeight="1">
      <c r="A17" s="1103" t="s">
        <v>494</v>
      </c>
      <c r="B17" s="173"/>
      <c r="C17" s="324"/>
      <c r="D17" s="173"/>
      <c r="E17" s="324"/>
      <c r="F17" s="173"/>
      <c r="G17" s="324"/>
      <c r="H17" s="173"/>
      <c r="I17" s="324"/>
      <c r="J17" s="173"/>
      <c r="K17" s="324"/>
      <c r="L17" s="173"/>
      <c r="M17" s="324"/>
      <c r="N17" s="173"/>
      <c r="O17" s="324"/>
      <c r="P17" s="173"/>
      <c r="Q17" s="324"/>
      <c r="R17" s="176"/>
      <c r="S17" s="333"/>
      <c r="T17"/>
      <c r="U17"/>
      <c r="V17"/>
      <c r="W17"/>
      <c r="X17"/>
      <c r="Y17"/>
      <c r="Z17"/>
      <c r="AA17"/>
      <c r="AB17"/>
      <c r="AC17"/>
      <c r="AD17"/>
      <c r="AE17"/>
      <c r="AF17"/>
      <c r="AG17"/>
      <c r="AH17"/>
      <c r="AI17"/>
      <c r="AJ17"/>
      <c r="AK17"/>
      <c r="AL17"/>
      <c r="AM17"/>
      <c r="AN17"/>
      <c r="AO17"/>
      <c r="AP17"/>
      <c r="AQ17"/>
      <c r="AR17"/>
      <c r="AS17"/>
      <c r="AT17"/>
      <c r="AU17"/>
      <c r="AV17"/>
      <c r="AW17"/>
    </row>
    <row r="18" spans="1:49" s="125" customFormat="1" ht="20.25" customHeight="1">
      <c r="A18" s="129" t="s">
        <v>76</v>
      </c>
      <c r="B18" s="174">
        <v>1</v>
      </c>
      <c r="C18" s="322">
        <v>128.5</v>
      </c>
      <c r="D18" s="174"/>
      <c r="E18" s="322"/>
      <c r="F18" s="174"/>
      <c r="G18" s="322"/>
      <c r="H18" s="174">
        <v>1</v>
      </c>
      <c r="I18" s="322">
        <v>77.8</v>
      </c>
      <c r="J18" s="174"/>
      <c r="K18" s="322"/>
      <c r="L18" s="174">
        <v>1</v>
      </c>
      <c r="M18" s="322">
        <v>109</v>
      </c>
      <c r="N18" s="174"/>
      <c r="O18" s="322"/>
      <c r="P18" s="174"/>
      <c r="Q18" s="322"/>
      <c r="R18" s="176">
        <f aca="true" t="shared" si="2" ref="R18:R23">SUM(B18,J18,N18,D18,F18,H18,L18,P18)</f>
        <v>3</v>
      </c>
      <c r="S18" s="823">
        <f aca="true" t="shared" si="3" ref="S18:S23">SUM(C18,K18,O18,E18,G18,I18,M18,Q18)</f>
        <v>315.3</v>
      </c>
      <c r="T18"/>
      <c r="U18"/>
      <c r="V18"/>
      <c r="W18"/>
      <c r="X18"/>
      <c r="Y18"/>
      <c r="Z18"/>
      <c r="AA18"/>
      <c r="AB18"/>
      <c r="AC18"/>
      <c r="AD18"/>
      <c r="AE18"/>
      <c r="AF18"/>
      <c r="AG18"/>
      <c r="AH18"/>
      <c r="AI18"/>
      <c r="AJ18"/>
      <c r="AK18"/>
      <c r="AL18"/>
      <c r="AM18"/>
      <c r="AN18"/>
      <c r="AO18"/>
      <c r="AP18"/>
      <c r="AQ18"/>
      <c r="AR18"/>
      <c r="AS18"/>
      <c r="AT18"/>
      <c r="AU18"/>
      <c r="AV18"/>
      <c r="AW18"/>
    </row>
    <row r="19" spans="1:49" s="125" customFormat="1" ht="20.25" customHeight="1">
      <c r="A19" s="129" t="s">
        <v>77</v>
      </c>
      <c r="B19" s="174">
        <v>2</v>
      </c>
      <c r="C19" s="322">
        <v>248.1</v>
      </c>
      <c r="D19" s="174"/>
      <c r="E19" s="322"/>
      <c r="F19" s="174"/>
      <c r="G19" s="322"/>
      <c r="H19" s="174">
        <v>1</v>
      </c>
      <c r="I19" s="322">
        <v>73.7</v>
      </c>
      <c r="J19" s="174"/>
      <c r="K19" s="322"/>
      <c r="L19" s="174"/>
      <c r="M19" s="322"/>
      <c r="N19" s="174"/>
      <c r="O19" s="322"/>
      <c r="P19" s="174"/>
      <c r="Q19" s="322"/>
      <c r="R19" s="176">
        <f t="shared" si="2"/>
        <v>3</v>
      </c>
      <c r="S19" s="823">
        <f t="shared" si="3"/>
        <v>321.8</v>
      </c>
      <c r="T19"/>
      <c r="U19"/>
      <c r="V19"/>
      <c r="W19"/>
      <c r="X19"/>
      <c r="Y19"/>
      <c r="Z19"/>
      <c r="AA19"/>
      <c r="AB19"/>
      <c r="AC19"/>
      <c r="AD19"/>
      <c r="AE19"/>
      <c r="AF19"/>
      <c r="AG19"/>
      <c r="AH19"/>
      <c r="AI19"/>
      <c r="AJ19"/>
      <c r="AK19"/>
      <c r="AL19"/>
      <c r="AM19"/>
      <c r="AN19"/>
      <c r="AO19"/>
      <c r="AP19"/>
      <c r="AQ19"/>
      <c r="AR19"/>
      <c r="AS19"/>
      <c r="AT19"/>
      <c r="AU19"/>
      <c r="AV19"/>
      <c r="AW19"/>
    </row>
    <row r="20" spans="1:49" s="125" customFormat="1" ht="20.25" customHeight="1">
      <c r="A20" s="129" t="s">
        <v>72</v>
      </c>
      <c r="B20" s="174"/>
      <c r="C20" s="322"/>
      <c r="D20" s="174"/>
      <c r="E20" s="322"/>
      <c r="F20" s="174"/>
      <c r="G20" s="322"/>
      <c r="H20" s="174">
        <v>1</v>
      </c>
      <c r="I20" s="322">
        <v>32.2</v>
      </c>
      <c r="J20" s="174">
        <v>1</v>
      </c>
      <c r="K20" s="322">
        <v>120.7</v>
      </c>
      <c r="L20" s="174"/>
      <c r="M20" s="322"/>
      <c r="N20" s="174"/>
      <c r="O20" s="322"/>
      <c r="P20" s="174"/>
      <c r="Q20" s="322"/>
      <c r="R20" s="176">
        <f t="shared" si="2"/>
        <v>2</v>
      </c>
      <c r="S20" s="823">
        <f t="shared" si="3"/>
        <v>152.9</v>
      </c>
      <c r="T20"/>
      <c r="U20"/>
      <c r="V20"/>
      <c r="W20"/>
      <c r="X20"/>
      <c r="Y20"/>
      <c r="Z20"/>
      <c r="AA20"/>
      <c r="AB20"/>
      <c r="AC20"/>
      <c r="AD20"/>
      <c r="AE20"/>
      <c r="AF20"/>
      <c r="AG20"/>
      <c r="AH20"/>
      <c r="AI20"/>
      <c r="AJ20"/>
      <c r="AK20"/>
      <c r="AL20"/>
      <c r="AM20"/>
      <c r="AN20"/>
      <c r="AO20"/>
      <c r="AP20"/>
      <c r="AQ20"/>
      <c r="AR20"/>
      <c r="AS20"/>
      <c r="AT20"/>
      <c r="AU20"/>
      <c r="AV20"/>
      <c r="AW20"/>
    </row>
    <row r="21" spans="1:49" s="125" customFormat="1" ht="20.25" customHeight="1">
      <c r="A21" s="129" t="s">
        <v>97</v>
      </c>
      <c r="B21" s="174">
        <v>4</v>
      </c>
      <c r="C21" s="322">
        <v>520.7</v>
      </c>
      <c r="D21" s="174"/>
      <c r="E21" s="322"/>
      <c r="F21" s="174"/>
      <c r="G21" s="322"/>
      <c r="H21" s="174">
        <v>1</v>
      </c>
      <c r="I21" s="322">
        <v>96.1</v>
      </c>
      <c r="J21" s="174"/>
      <c r="K21" s="322"/>
      <c r="L21" s="174">
        <v>2</v>
      </c>
      <c r="M21" s="322">
        <v>280.8</v>
      </c>
      <c r="N21" s="174"/>
      <c r="O21" s="322"/>
      <c r="P21" s="174"/>
      <c r="Q21" s="322"/>
      <c r="R21" s="176">
        <f t="shared" si="2"/>
        <v>7</v>
      </c>
      <c r="S21" s="823">
        <f t="shared" si="3"/>
        <v>897.6000000000001</v>
      </c>
      <c r="T21"/>
      <c r="U21"/>
      <c r="V21"/>
      <c r="W21"/>
      <c r="X21"/>
      <c r="Y21"/>
      <c r="Z21"/>
      <c r="AA21"/>
      <c r="AB21"/>
      <c r="AC21"/>
      <c r="AD21"/>
      <c r="AE21"/>
      <c r="AF21"/>
      <c r="AG21"/>
      <c r="AH21"/>
      <c r="AI21"/>
      <c r="AJ21"/>
      <c r="AK21"/>
      <c r="AL21"/>
      <c r="AM21"/>
      <c r="AN21"/>
      <c r="AO21"/>
      <c r="AP21"/>
      <c r="AQ21"/>
      <c r="AR21"/>
      <c r="AS21"/>
      <c r="AT21"/>
      <c r="AU21"/>
      <c r="AV21"/>
      <c r="AW21"/>
    </row>
    <row r="22" spans="1:49" s="125" customFormat="1" ht="20.25" customHeight="1">
      <c r="A22" s="129" t="s">
        <v>98</v>
      </c>
      <c r="B22" s="174">
        <v>2</v>
      </c>
      <c r="C22" s="322">
        <v>313</v>
      </c>
      <c r="D22" s="174"/>
      <c r="E22" s="322"/>
      <c r="F22" s="174"/>
      <c r="G22" s="322"/>
      <c r="H22" s="174"/>
      <c r="I22" s="322"/>
      <c r="J22" s="174">
        <v>1</v>
      </c>
      <c r="K22" s="322">
        <v>162.5</v>
      </c>
      <c r="L22" s="174">
        <v>3</v>
      </c>
      <c r="M22" s="322">
        <v>425.5</v>
      </c>
      <c r="N22" s="174"/>
      <c r="O22" s="322"/>
      <c r="P22" s="174"/>
      <c r="Q22" s="322"/>
      <c r="R22" s="176">
        <f t="shared" si="2"/>
        <v>6</v>
      </c>
      <c r="S22" s="823">
        <f t="shared" si="3"/>
        <v>901</v>
      </c>
      <c r="T22"/>
      <c r="U22"/>
      <c r="V22"/>
      <c r="W22"/>
      <c r="X22"/>
      <c r="Y22"/>
      <c r="Z22"/>
      <c r="AA22"/>
      <c r="AB22"/>
      <c r="AC22"/>
      <c r="AD22"/>
      <c r="AE22"/>
      <c r="AF22"/>
      <c r="AG22"/>
      <c r="AH22"/>
      <c r="AI22"/>
      <c r="AJ22"/>
      <c r="AK22"/>
      <c r="AL22"/>
      <c r="AM22"/>
      <c r="AN22"/>
      <c r="AO22"/>
      <c r="AP22"/>
      <c r="AQ22"/>
      <c r="AR22"/>
      <c r="AS22"/>
      <c r="AT22"/>
      <c r="AU22"/>
      <c r="AV22"/>
      <c r="AW22"/>
    </row>
    <row r="23" spans="1:49" s="125" customFormat="1" ht="20.25" customHeight="1">
      <c r="A23" s="129" t="s">
        <v>78</v>
      </c>
      <c r="B23" s="174">
        <v>4</v>
      </c>
      <c r="C23" s="322">
        <v>468.2</v>
      </c>
      <c r="D23" s="174"/>
      <c r="E23" s="322"/>
      <c r="F23" s="174"/>
      <c r="G23" s="322"/>
      <c r="H23" s="174">
        <v>1</v>
      </c>
      <c r="I23" s="322">
        <v>81.7</v>
      </c>
      <c r="J23" s="174">
        <v>1</v>
      </c>
      <c r="K23" s="322">
        <v>109</v>
      </c>
      <c r="L23" s="174">
        <v>3</v>
      </c>
      <c r="M23" s="322">
        <v>273.6</v>
      </c>
      <c r="N23" s="174"/>
      <c r="O23" s="322"/>
      <c r="P23" s="174"/>
      <c r="Q23" s="322"/>
      <c r="R23" s="176">
        <f t="shared" si="2"/>
        <v>9</v>
      </c>
      <c r="S23" s="823">
        <f t="shared" si="3"/>
        <v>932.5000000000001</v>
      </c>
      <c r="T23"/>
      <c r="U23"/>
      <c r="V23"/>
      <c r="W23"/>
      <c r="X23"/>
      <c r="Y23"/>
      <c r="Z23"/>
      <c r="AA23"/>
      <c r="AB23"/>
      <c r="AC23"/>
      <c r="AD23"/>
      <c r="AE23"/>
      <c r="AF23"/>
      <c r="AG23"/>
      <c r="AH23"/>
      <c r="AI23"/>
      <c r="AJ23"/>
      <c r="AK23"/>
      <c r="AL23"/>
      <c r="AM23"/>
      <c r="AN23"/>
      <c r="AO23"/>
      <c r="AP23"/>
      <c r="AQ23"/>
      <c r="AR23"/>
      <c r="AS23"/>
      <c r="AT23"/>
      <c r="AU23"/>
      <c r="AV23"/>
      <c r="AW23"/>
    </row>
    <row r="24" spans="1:49" s="125" customFormat="1" ht="20.25" customHeight="1">
      <c r="A24" s="129" t="s">
        <v>99</v>
      </c>
      <c r="B24" s="174">
        <v>4</v>
      </c>
      <c r="C24" s="322">
        <v>437.8</v>
      </c>
      <c r="D24" s="174"/>
      <c r="E24" s="322"/>
      <c r="F24" s="174"/>
      <c r="G24" s="322"/>
      <c r="H24" s="174"/>
      <c r="I24" s="322"/>
      <c r="J24" s="174">
        <v>1</v>
      </c>
      <c r="K24" s="322">
        <v>113.8</v>
      </c>
      <c r="L24" s="174">
        <v>1</v>
      </c>
      <c r="M24" s="322">
        <v>135.6</v>
      </c>
      <c r="N24" s="174"/>
      <c r="O24" s="322"/>
      <c r="P24" s="174">
        <v>1</v>
      </c>
      <c r="Q24" s="322">
        <v>192.5</v>
      </c>
      <c r="R24" s="176">
        <f>SUM(B24,J24,N24,D24,F24,H24,L24,P24)</f>
        <v>7</v>
      </c>
      <c r="S24" s="823">
        <f>SUM(C24,K24,O24,E24,G24,I24,M24,Q24)</f>
        <v>879.7</v>
      </c>
      <c r="T24"/>
      <c r="U24"/>
      <c r="V24"/>
      <c r="W24"/>
      <c r="X24"/>
      <c r="Y24"/>
      <c r="Z24"/>
      <c r="AA24"/>
      <c r="AB24"/>
      <c r="AC24"/>
      <c r="AD24"/>
      <c r="AE24"/>
      <c r="AF24"/>
      <c r="AG24"/>
      <c r="AH24"/>
      <c r="AI24"/>
      <c r="AJ24"/>
      <c r="AK24"/>
      <c r="AL24"/>
      <c r="AM24"/>
      <c r="AN24"/>
      <c r="AO24"/>
      <c r="AP24"/>
      <c r="AQ24"/>
      <c r="AR24"/>
      <c r="AS24"/>
      <c r="AT24"/>
      <c r="AU24"/>
      <c r="AV24"/>
      <c r="AW24"/>
    </row>
    <row r="25" spans="1:49" s="769" customFormat="1" ht="20.25" customHeight="1">
      <c r="A25" s="130" t="s">
        <v>79</v>
      </c>
      <c r="B25" s="335">
        <v>8</v>
      </c>
      <c r="C25" s="336">
        <v>914.3</v>
      </c>
      <c r="D25" s="335"/>
      <c r="E25" s="336"/>
      <c r="F25" s="335"/>
      <c r="G25" s="336"/>
      <c r="H25" s="335">
        <v>4</v>
      </c>
      <c r="I25" s="336">
        <v>295.4</v>
      </c>
      <c r="J25" s="335">
        <v>1</v>
      </c>
      <c r="K25" s="336">
        <v>110.6</v>
      </c>
      <c r="L25" s="335">
        <v>7</v>
      </c>
      <c r="M25" s="336">
        <v>752.9</v>
      </c>
      <c r="N25" s="335"/>
      <c r="O25" s="336"/>
      <c r="P25" s="335">
        <v>2</v>
      </c>
      <c r="Q25" s="336">
        <v>361.3</v>
      </c>
      <c r="R25" s="337">
        <f>SUM(B25,J25,N25,D25,F25,H25,L25,P25)</f>
        <v>22</v>
      </c>
      <c r="S25" s="825">
        <f>SUM(C25,K25,O25,E25,G25,I25,M25,Q25)</f>
        <v>2434.5</v>
      </c>
      <c r="T25" s="256"/>
      <c r="U25" s="256"/>
      <c r="V25" s="256"/>
      <c r="W25" s="256"/>
      <c r="X25" s="256"/>
      <c r="Y25" s="256"/>
      <c r="Z25" s="256"/>
      <c r="AA25" s="256"/>
      <c r="AB25" s="256"/>
      <c r="AC25" s="256"/>
      <c r="AD25" s="256"/>
      <c r="AE25" s="256"/>
      <c r="AF25" s="256"/>
      <c r="AG25" s="256"/>
      <c r="AH25" s="256"/>
      <c r="AI25" s="256"/>
      <c r="AJ25" s="256"/>
      <c r="AK25" s="256"/>
      <c r="AL25" s="256"/>
      <c r="AM25" s="256"/>
      <c r="AN25" s="256"/>
      <c r="AO25" s="256"/>
      <c r="AP25" s="256"/>
      <c r="AQ25" s="256"/>
      <c r="AR25" s="256"/>
      <c r="AS25" s="256"/>
      <c r="AT25" s="256"/>
      <c r="AU25" s="256"/>
      <c r="AV25" s="256"/>
      <c r="AW25" s="256"/>
    </row>
    <row r="26" spans="1:49" s="125" customFormat="1" ht="20.25" customHeight="1">
      <c r="A26" s="131" t="s">
        <v>539</v>
      </c>
      <c r="B26" s="178"/>
      <c r="C26" s="324"/>
      <c r="D26" s="178"/>
      <c r="E26" s="324"/>
      <c r="F26" s="178"/>
      <c r="G26" s="324"/>
      <c r="H26" s="178"/>
      <c r="I26" s="324"/>
      <c r="J26" s="178"/>
      <c r="K26" s="324"/>
      <c r="L26" s="178"/>
      <c r="M26" s="324"/>
      <c r="N26" s="178"/>
      <c r="O26" s="324"/>
      <c r="P26" s="178"/>
      <c r="Q26" s="324"/>
      <c r="R26" s="175"/>
      <c r="S26" s="329"/>
      <c r="T26"/>
      <c r="U26"/>
      <c r="V26"/>
      <c r="W26"/>
      <c r="X26"/>
      <c r="Y26"/>
      <c r="Z26"/>
      <c r="AA26"/>
      <c r="AB26"/>
      <c r="AC26"/>
      <c r="AD26"/>
      <c r="AE26"/>
      <c r="AF26"/>
      <c r="AG26"/>
      <c r="AH26"/>
      <c r="AI26"/>
      <c r="AJ26"/>
      <c r="AK26"/>
      <c r="AL26"/>
      <c r="AM26"/>
      <c r="AN26"/>
      <c r="AO26"/>
      <c r="AP26"/>
      <c r="AQ26"/>
      <c r="AR26"/>
      <c r="AS26"/>
      <c r="AT26"/>
      <c r="AU26"/>
      <c r="AV26"/>
      <c r="AW26"/>
    </row>
    <row r="27" spans="1:49" s="822" customFormat="1" ht="20.25" customHeight="1">
      <c r="A27" s="129" t="s">
        <v>196</v>
      </c>
      <c r="B27" s="174">
        <v>1</v>
      </c>
      <c r="C27" s="322">
        <v>208.5</v>
      </c>
      <c r="D27" s="174"/>
      <c r="E27" s="322"/>
      <c r="F27" s="174"/>
      <c r="G27" s="322"/>
      <c r="H27" s="174"/>
      <c r="I27" s="322"/>
      <c r="J27" s="174"/>
      <c r="K27" s="322"/>
      <c r="L27" s="174">
        <v>4</v>
      </c>
      <c r="M27" s="322">
        <v>695.3</v>
      </c>
      <c r="N27" s="174"/>
      <c r="O27" s="322"/>
      <c r="P27" s="174"/>
      <c r="Q27" s="322"/>
      <c r="R27" s="176">
        <f aca="true" t="shared" si="4" ref="R27:S30">SUM(B27,J27,N27,D27,F27,H27,L27,P27)</f>
        <v>5</v>
      </c>
      <c r="S27" s="823">
        <f t="shared" si="4"/>
        <v>903.8</v>
      </c>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row>
    <row r="28" spans="1:49" s="822" customFormat="1" ht="20.25" customHeight="1">
      <c r="A28" s="129" t="s">
        <v>112</v>
      </c>
      <c r="B28" s="174">
        <v>2</v>
      </c>
      <c r="C28" s="322">
        <v>354.8</v>
      </c>
      <c r="D28" s="174"/>
      <c r="E28" s="322"/>
      <c r="F28" s="174"/>
      <c r="G28" s="322"/>
      <c r="H28" s="174">
        <v>1</v>
      </c>
      <c r="I28" s="322">
        <v>184</v>
      </c>
      <c r="J28" s="174"/>
      <c r="K28" s="322"/>
      <c r="L28" s="174"/>
      <c r="M28" s="322"/>
      <c r="N28" s="174"/>
      <c r="O28" s="322"/>
      <c r="P28" s="174"/>
      <c r="Q28" s="322"/>
      <c r="R28" s="176">
        <f t="shared" si="4"/>
        <v>3</v>
      </c>
      <c r="S28" s="823">
        <f t="shared" si="4"/>
        <v>538.8</v>
      </c>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row>
    <row r="29" spans="1:49" s="822" customFormat="1" ht="20.25" customHeight="1">
      <c r="A29" s="129" t="s">
        <v>122</v>
      </c>
      <c r="B29" s="174"/>
      <c r="C29" s="322"/>
      <c r="D29" s="174"/>
      <c r="E29" s="322"/>
      <c r="F29" s="174"/>
      <c r="G29" s="322"/>
      <c r="H29" s="174"/>
      <c r="I29" s="322"/>
      <c r="J29" s="174">
        <v>1</v>
      </c>
      <c r="K29" s="322">
        <v>209.6</v>
      </c>
      <c r="L29" s="174">
        <v>2</v>
      </c>
      <c r="M29" s="322">
        <v>252</v>
      </c>
      <c r="N29" s="174"/>
      <c r="O29" s="322"/>
      <c r="P29" s="174"/>
      <c r="Q29" s="322"/>
      <c r="R29" s="176">
        <f t="shared" si="4"/>
        <v>3</v>
      </c>
      <c r="S29" s="823">
        <f t="shared" si="4"/>
        <v>461.6</v>
      </c>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row>
    <row r="30" spans="1:49" s="769" customFormat="1" ht="20.25" customHeight="1">
      <c r="A30" s="130" t="s">
        <v>264</v>
      </c>
      <c r="B30" s="335">
        <v>1</v>
      </c>
      <c r="C30" s="336">
        <v>267.3</v>
      </c>
      <c r="D30" s="335"/>
      <c r="E30" s="336"/>
      <c r="F30" s="335"/>
      <c r="G30" s="336"/>
      <c r="H30" s="335"/>
      <c r="I30" s="336"/>
      <c r="J30" s="335"/>
      <c r="K30" s="336"/>
      <c r="L30" s="335">
        <v>2</v>
      </c>
      <c r="M30" s="336">
        <v>510.3</v>
      </c>
      <c r="N30" s="335"/>
      <c r="O30" s="336"/>
      <c r="P30" s="335"/>
      <c r="Q30" s="336"/>
      <c r="R30" s="337">
        <f t="shared" si="4"/>
        <v>3</v>
      </c>
      <c r="S30" s="825">
        <f t="shared" si="4"/>
        <v>777.6</v>
      </c>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row>
    <row r="31" spans="1:49" s="125" customFormat="1" ht="23.25" customHeight="1">
      <c r="A31" s="1103" t="s">
        <v>496</v>
      </c>
      <c r="B31" s="174"/>
      <c r="C31" s="322"/>
      <c r="D31" s="174"/>
      <c r="E31" s="322"/>
      <c r="F31" s="174"/>
      <c r="G31" s="322"/>
      <c r="H31" s="174"/>
      <c r="I31" s="322"/>
      <c r="J31" s="174"/>
      <c r="K31" s="322"/>
      <c r="L31" s="174"/>
      <c r="M31" s="322"/>
      <c r="N31" s="174"/>
      <c r="O31" s="322"/>
      <c r="P31" s="174"/>
      <c r="Q31" s="322"/>
      <c r="R31" s="174"/>
      <c r="S31" s="322"/>
      <c r="T31"/>
      <c r="U31"/>
      <c r="V31"/>
      <c r="W31"/>
      <c r="X31"/>
      <c r="Y31"/>
      <c r="Z31"/>
      <c r="AA31"/>
      <c r="AB31"/>
      <c r="AC31"/>
      <c r="AD31"/>
      <c r="AE31"/>
      <c r="AF31"/>
      <c r="AG31"/>
      <c r="AH31"/>
      <c r="AI31"/>
      <c r="AJ31"/>
      <c r="AK31"/>
      <c r="AL31"/>
      <c r="AM31"/>
      <c r="AN31"/>
      <c r="AO31"/>
      <c r="AP31"/>
      <c r="AQ31"/>
      <c r="AR31"/>
      <c r="AS31"/>
      <c r="AT31"/>
      <c r="AU31"/>
      <c r="AV31"/>
      <c r="AW31"/>
    </row>
    <row r="32" spans="1:49" s="125" customFormat="1" ht="20.25" customHeight="1">
      <c r="A32" s="129" t="s">
        <v>123</v>
      </c>
      <c r="B32" s="174"/>
      <c r="C32" s="322"/>
      <c r="D32" s="174"/>
      <c r="E32" s="322"/>
      <c r="F32" s="174"/>
      <c r="G32" s="322"/>
      <c r="H32" s="174">
        <v>3</v>
      </c>
      <c r="I32" s="322">
        <v>356.4</v>
      </c>
      <c r="J32" s="174"/>
      <c r="K32" s="322"/>
      <c r="L32" s="174"/>
      <c r="M32" s="322"/>
      <c r="N32" s="174"/>
      <c r="O32" s="322"/>
      <c r="P32" s="174"/>
      <c r="Q32" s="322"/>
      <c r="R32" s="176">
        <f aca="true" t="shared" si="5" ref="R32:R45">SUM(B32,J32,N32,D32,F32,H32,L32,P32)</f>
        <v>3</v>
      </c>
      <c r="S32" s="823">
        <f aca="true" t="shared" si="6" ref="S32:S45">SUM(C32,K32,O32,E32,G32,I32,M32,Q32)</f>
        <v>356.4</v>
      </c>
      <c r="T32"/>
      <c r="U32"/>
      <c r="V32"/>
      <c r="W32"/>
      <c r="X32"/>
      <c r="Y32"/>
      <c r="Z32"/>
      <c r="AA32"/>
      <c r="AB32"/>
      <c r="AC32"/>
      <c r="AD32"/>
      <c r="AE32"/>
      <c r="AF32"/>
      <c r="AG32"/>
      <c r="AH32"/>
      <c r="AI32"/>
      <c r="AJ32"/>
      <c r="AK32"/>
      <c r="AL32"/>
      <c r="AM32"/>
      <c r="AN32"/>
      <c r="AO32"/>
      <c r="AP32"/>
      <c r="AQ32"/>
      <c r="AR32"/>
      <c r="AS32"/>
      <c r="AT32"/>
      <c r="AU32"/>
      <c r="AV32"/>
      <c r="AW32"/>
    </row>
    <row r="33" spans="1:49" s="125" customFormat="1" ht="20.25" customHeight="1">
      <c r="A33" s="129" t="s">
        <v>259</v>
      </c>
      <c r="B33" s="174">
        <v>1</v>
      </c>
      <c r="C33" s="322">
        <v>168.7</v>
      </c>
      <c r="D33" s="174"/>
      <c r="E33" s="322"/>
      <c r="F33" s="174"/>
      <c r="G33" s="322"/>
      <c r="H33" s="174">
        <v>2</v>
      </c>
      <c r="I33" s="322">
        <v>159.3</v>
      </c>
      <c r="J33" s="174"/>
      <c r="K33" s="322"/>
      <c r="L33" s="174"/>
      <c r="M33" s="322"/>
      <c r="N33" s="174"/>
      <c r="O33" s="322"/>
      <c r="P33" s="174"/>
      <c r="Q33" s="322"/>
      <c r="R33" s="176">
        <f t="shared" si="5"/>
        <v>3</v>
      </c>
      <c r="S33" s="823">
        <f t="shared" si="6"/>
        <v>328</v>
      </c>
      <c r="T33"/>
      <c r="U33"/>
      <c r="V33"/>
      <c r="W33"/>
      <c r="X33"/>
      <c r="Y33"/>
      <c r="Z33"/>
      <c r="AA33"/>
      <c r="AB33"/>
      <c r="AC33"/>
      <c r="AD33"/>
      <c r="AE33"/>
      <c r="AF33"/>
      <c r="AG33"/>
      <c r="AH33"/>
      <c r="AI33"/>
      <c r="AJ33"/>
      <c r="AK33"/>
      <c r="AL33"/>
      <c r="AM33"/>
      <c r="AN33"/>
      <c r="AO33"/>
      <c r="AP33"/>
      <c r="AQ33"/>
      <c r="AR33"/>
      <c r="AS33"/>
      <c r="AT33"/>
      <c r="AU33"/>
      <c r="AV33"/>
      <c r="AW33"/>
    </row>
    <row r="34" spans="1:49" s="125" customFormat="1" ht="20.25" customHeight="1">
      <c r="A34" s="129" t="s">
        <v>100</v>
      </c>
      <c r="B34" s="174">
        <v>3</v>
      </c>
      <c r="C34" s="322">
        <v>422.2</v>
      </c>
      <c r="D34" s="174"/>
      <c r="E34" s="322"/>
      <c r="F34" s="174"/>
      <c r="G34" s="322"/>
      <c r="H34" s="174">
        <v>1</v>
      </c>
      <c r="I34" s="322">
        <v>94.3</v>
      </c>
      <c r="J34" s="174">
        <v>1</v>
      </c>
      <c r="K34" s="322">
        <v>128.8</v>
      </c>
      <c r="L34" s="174">
        <v>1</v>
      </c>
      <c r="M34" s="322">
        <v>150.9</v>
      </c>
      <c r="N34" s="174"/>
      <c r="O34" s="322"/>
      <c r="P34" s="174"/>
      <c r="Q34" s="322"/>
      <c r="R34" s="176">
        <f t="shared" si="5"/>
        <v>6</v>
      </c>
      <c r="S34" s="823">
        <f t="shared" si="6"/>
        <v>796.1999999999999</v>
      </c>
      <c r="T34"/>
      <c r="U34"/>
      <c r="V34"/>
      <c r="W34"/>
      <c r="X34"/>
      <c r="Y34"/>
      <c r="Z34"/>
      <c r="AA34"/>
      <c r="AB34"/>
      <c r="AC34"/>
      <c r="AD34"/>
      <c r="AE34"/>
      <c r="AF34"/>
      <c r="AG34"/>
      <c r="AH34"/>
      <c r="AI34"/>
      <c r="AJ34"/>
      <c r="AK34"/>
      <c r="AL34"/>
      <c r="AM34"/>
      <c r="AN34"/>
      <c r="AO34"/>
      <c r="AP34"/>
      <c r="AQ34"/>
      <c r="AR34"/>
      <c r="AS34"/>
      <c r="AT34"/>
      <c r="AU34"/>
      <c r="AV34"/>
      <c r="AW34"/>
    </row>
    <row r="35" spans="1:49" s="125" customFormat="1" ht="20.25" customHeight="1">
      <c r="A35" s="129" t="s">
        <v>261</v>
      </c>
      <c r="B35" s="174">
        <v>2</v>
      </c>
      <c r="C35" s="322">
        <v>295.5</v>
      </c>
      <c r="D35" s="174"/>
      <c r="E35" s="322"/>
      <c r="F35" s="174"/>
      <c r="G35" s="322"/>
      <c r="H35" s="174"/>
      <c r="I35" s="322"/>
      <c r="J35" s="174"/>
      <c r="K35" s="322"/>
      <c r="L35" s="174"/>
      <c r="M35" s="322"/>
      <c r="N35" s="174"/>
      <c r="O35" s="322"/>
      <c r="P35" s="174">
        <v>1</v>
      </c>
      <c r="Q35" s="322">
        <v>242.8</v>
      </c>
      <c r="R35" s="176">
        <f t="shared" si="5"/>
        <v>3</v>
      </c>
      <c r="S35" s="823">
        <f t="shared" si="6"/>
        <v>538.3</v>
      </c>
      <c r="T35"/>
      <c r="U35"/>
      <c r="V35"/>
      <c r="W35"/>
      <c r="X35"/>
      <c r="Y35"/>
      <c r="Z35"/>
      <c r="AA35"/>
      <c r="AB35"/>
      <c r="AC35"/>
      <c r="AD35"/>
      <c r="AE35"/>
      <c r="AF35"/>
      <c r="AG35"/>
      <c r="AH35"/>
      <c r="AI35"/>
      <c r="AJ35"/>
      <c r="AK35"/>
      <c r="AL35"/>
      <c r="AM35"/>
      <c r="AN35"/>
      <c r="AO35"/>
      <c r="AP35"/>
      <c r="AQ35"/>
      <c r="AR35"/>
      <c r="AS35"/>
      <c r="AT35"/>
      <c r="AU35"/>
      <c r="AV35"/>
      <c r="AW35"/>
    </row>
    <row r="36" spans="1:49" s="125" customFormat="1" ht="20.25" customHeight="1">
      <c r="A36" s="129" t="s">
        <v>262</v>
      </c>
      <c r="B36" s="174"/>
      <c r="C36" s="322"/>
      <c r="D36" s="174"/>
      <c r="E36" s="322"/>
      <c r="F36" s="174"/>
      <c r="G36" s="322"/>
      <c r="H36" s="174">
        <v>1</v>
      </c>
      <c r="I36" s="322">
        <v>47.8</v>
      </c>
      <c r="J36" s="174"/>
      <c r="K36" s="322"/>
      <c r="L36" s="174"/>
      <c r="M36" s="322"/>
      <c r="N36" s="174"/>
      <c r="O36" s="322"/>
      <c r="P36" s="174"/>
      <c r="Q36" s="322"/>
      <c r="R36" s="176">
        <f t="shared" si="5"/>
        <v>1</v>
      </c>
      <c r="S36" s="823">
        <f t="shared" si="6"/>
        <v>47.8</v>
      </c>
      <c r="T36"/>
      <c r="U36"/>
      <c r="V36"/>
      <c r="W36"/>
      <c r="X36"/>
      <c r="Y36"/>
      <c r="Z36"/>
      <c r="AA36"/>
      <c r="AB36"/>
      <c r="AC36"/>
      <c r="AD36"/>
      <c r="AE36"/>
      <c r="AF36"/>
      <c r="AG36"/>
      <c r="AH36"/>
      <c r="AI36"/>
      <c r="AJ36"/>
      <c r="AK36"/>
      <c r="AL36"/>
      <c r="AM36"/>
      <c r="AN36"/>
      <c r="AO36"/>
      <c r="AP36"/>
      <c r="AQ36"/>
      <c r="AR36"/>
      <c r="AS36"/>
      <c r="AT36"/>
      <c r="AU36"/>
      <c r="AV36"/>
      <c r="AW36"/>
    </row>
    <row r="37" spans="1:49" s="125" customFormat="1" ht="20.25" customHeight="1">
      <c r="A37" s="129" t="s">
        <v>101</v>
      </c>
      <c r="B37" s="174">
        <v>4</v>
      </c>
      <c r="C37" s="322">
        <v>588.8</v>
      </c>
      <c r="D37" s="174"/>
      <c r="E37" s="322"/>
      <c r="F37" s="174"/>
      <c r="G37" s="322"/>
      <c r="H37" s="174">
        <v>5</v>
      </c>
      <c r="I37" s="322">
        <v>494.6</v>
      </c>
      <c r="J37" s="174">
        <v>2</v>
      </c>
      <c r="K37" s="322">
        <v>261</v>
      </c>
      <c r="L37" s="174">
        <v>8</v>
      </c>
      <c r="M37" s="322">
        <v>1010.1</v>
      </c>
      <c r="N37" s="174"/>
      <c r="O37" s="322"/>
      <c r="P37" s="174"/>
      <c r="Q37" s="322"/>
      <c r="R37" s="176">
        <f t="shared" si="5"/>
        <v>19</v>
      </c>
      <c r="S37" s="823">
        <f t="shared" si="6"/>
        <v>2354.5</v>
      </c>
      <c r="T37"/>
      <c r="U37"/>
      <c r="V37"/>
      <c r="W37"/>
      <c r="X37"/>
      <c r="Y37"/>
      <c r="Z37"/>
      <c r="AA37"/>
      <c r="AB37"/>
      <c r="AC37"/>
      <c r="AD37"/>
      <c r="AE37"/>
      <c r="AF37"/>
      <c r="AG37"/>
      <c r="AH37"/>
      <c r="AI37"/>
      <c r="AJ37"/>
      <c r="AK37"/>
      <c r="AL37"/>
      <c r="AM37"/>
      <c r="AN37"/>
      <c r="AO37"/>
      <c r="AP37"/>
      <c r="AQ37"/>
      <c r="AR37"/>
      <c r="AS37"/>
      <c r="AT37"/>
      <c r="AU37"/>
      <c r="AV37"/>
      <c r="AW37"/>
    </row>
    <row r="38" spans="1:49" s="125" customFormat="1" ht="20.25" customHeight="1">
      <c r="A38" s="129" t="s">
        <v>402</v>
      </c>
      <c r="B38" s="174"/>
      <c r="C38" s="322"/>
      <c r="D38" s="174"/>
      <c r="E38" s="322"/>
      <c r="F38" s="174"/>
      <c r="G38" s="322"/>
      <c r="H38" s="174"/>
      <c r="I38" s="322"/>
      <c r="J38" s="174"/>
      <c r="K38" s="322"/>
      <c r="L38" s="174">
        <v>1</v>
      </c>
      <c r="M38" s="322">
        <v>156.1</v>
      </c>
      <c r="N38" s="174"/>
      <c r="O38" s="322"/>
      <c r="P38" s="174"/>
      <c r="Q38" s="322"/>
      <c r="R38" s="176">
        <f t="shared" si="5"/>
        <v>1</v>
      </c>
      <c r="S38" s="823">
        <f t="shared" si="6"/>
        <v>156.1</v>
      </c>
      <c r="T38"/>
      <c r="U38"/>
      <c r="V38"/>
      <c r="W38"/>
      <c r="X38"/>
      <c r="Y38"/>
      <c r="Z38"/>
      <c r="AA38"/>
      <c r="AB38"/>
      <c r="AC38"/>
      <c r="AD38"/>
      <c r="AE38"/>
      <c r="AF38"/>
      <c r="AG38"/>
      <c r="AH38"/>
      <c r="AI38"/>
      <c r="AJ38"/>
      <c r="AK38"/>
      <c r="AL38"/>
      <c r="AM38"/>
      <c r="AN38"/>
      <c r="AO38"/>
      <c r="AP38"/>
      <c r="AQ38"/>
      <c r="AR38"/>
      <c r="AS38"/>
      <c r="AT38"/>
      <c r="AU38"/>
      <c r="AV38"/>
      <c r="AW38"/>
    </row>
    <row r="39" spans="1:49" s="125" customFormat="1" ht="20.25" customHeight="1">
      <c r="A39" s="129" t="s">
        <v>102</v>
      </c>
      <c r="B39" s="174">
        <v>6</v>
      </c>
      <c r="C39" s="322">
        <v>835</v>
      </c>
      <c r="D39" s="174"/>
      <c r="E39" s="322"/>
      <c r="F39" s="174"/>
      <c r="G39" s="322"/>
      <c r="H39" s="174">
        <v>2</v>
      </c>
      <c r="I39" s="322">
        <v>205.8</v>
      </c>
      <c r="J39" s="174"/>
      <c r="K39" s="322"/>
      <c r="L39" s="174">
        <v>4</v>
      </c>
      <c r="M39" s="322">
        <v>523.5</v>
      </c>
      <c r="N39" s="174"/>
      <c r="O39" s="322"/>
      <c r="P39" s="174">
        <v>1</v>
      </c>
      <c r="Q39" s="322">
        <v>212.4</v>
      </c>
      <c r="R39" s="176">
        <f t="shared" si="5"/>
        <v>13</v>
      </c>
      <c r="S39" s="823">
        <f t="shared" si="6"/>
        <v>1776.7</v>
      </c>
      <c r="T39"/>
      <c r="U39"/>
      <c r="V39"/>
      <c r="W39"/>
      <c r="X39"/>
      <c r="Y39"/>
      <c r="Z39"/>
      <c r="AA39"/>
      <c r="AB39"/>
      <c r="AC39"/>
      <c r="AD39"/>
      <c r="AE39"/>
      <c r="AF39"/>
      <c r="AG39"/>
      <c r="AH39"/>
      <c r="AI39"/>
      <c r="AJ39"/>
      <c r="AK39"/>
      <c r="AL39"/>
      <c r="AM39"/>
      <c r="AN39"/>
      <c r="AO39"/>
      <c r="AP39"/>
      <c r="AQ39"/>
      <c r="AR39"/>
      <c r="AS39"/>
      <c r="AT39"/>
      <c r="AU39"/>
      <c r="AV39"/>
      <c r="AW39"/>
    </row>
    <row r="40" spans="1:49" s="125" customFormat="1" ht="20.25" customHeight="1">
      <c r="A40" s="129" t="s">
        <v>121</v>
      </c>
      <c r="B40" s="174"/>
      <c r="C40" s="322"/>
      <c r="D40" s="174"/>
      <c r="E40" s="322"/>
      <c r="F40" s="174"/>
      <c r="G40" s="322"/>
      <c r="H40" s="174"/>
      <c r="I40" s="322"/>
      <c r="J40" s="174">
        <v>1</v>
      </c>
      <c r="K40" s="322">
        <v>151.5</v>
      </c>
      <c r="L40" s="174">
        <v>1</v>
      </c>
      <c r="M40" s="322">
        <v>133</v>
      </c>
      <c r="N40" s="174"/>
      <c r="O40" s="322"/>
      <c r="P40" s="174">
        <v>2</v>
      </c>
      <c r="Q40" s="322">
        <v>461.1</v>
      </c>
      <c r="R40" s="176">
        <f t="shared" si="5"/>
        <v>4</v>
      </c>
      <c r="S40" s="823">
        <f t="shared" si="6"/>
        <v>745.6</v>
      </c>
      <c r="T40"/>
      <c r="U40"/>
      <c r="V40"/>
      <c r="W40"/>
      <c r="X40"/>
      <c r="Y40"/>
      <c r="Z40"/>
      <c r="AA40"/>
      <c r="AB40"/>
      <c r="AC40"/>
      <c r="AD40"/>
      <c r="AE40"/>
      <c r="AF40"/>
      <c r="AG40"/>
      <c r="AH40"/>
      <c r="AI40"/>
      <c r="AJ40"/>
      <c r="AK40"/>
      <c r="AL40"/>
      <c r="AM40"/>
      <c r="AN40"/>
      <c r="AO40"/>
      <c r="AP40"/>
      <c r="AQ40"/>
      <c r="AR40"/>
      <c r="AS40"/>
      <c r="AT40"/>
      <c r="AU40"/>
      <c r="AV40"/>
      <c r="AW40"/>
    </row>
    <row r="41" spans="1:49" s="125" customFormat="1" ht="20.25" customHeight="1">
      <c r="A41" s="129" t="s">
        <v>260</v>
      </c>
      <c r="B41" s="174">
        <v>1</v>
      </c>
      <c r="C41" s="322">
        <v>151.6</v>
      </c>
      <c r="D41" s="174"/>
      <c r="E41" s="322"/>
      <c r="F41" s="174"/>
      <c r="G41" s="322"/>
      <c r="H41" s="174"/>
      <c r="I41" s="322"/>
      <c r="J41" s="174"/>
      <c r="K41" s="322"/>
      <c r="L41" s="174"/>
      <c r="M41" s="322"/>
      <c r="N41" s="174"/>
      <c r="O41" s="322"/>
      <c r="P41" s="174"/>
      <c r="Q41" s="322"/>
      <c r="R41" s="176">
        <f t="shared" si="5"/>
        <v>1</v>
      </c>
      <c r="S41" s="823">
        <f t="shared" si="6"/>
        <v>151.6</v>
      </c>
      <c r="T41"/>
      <c r="U41"/>
      <c r="V41"/>
      <c r="W41"/>
      <c r="X41"/>
      <c r="Y41"/>
      <c r="Z41"/>
      <c r="AA41"/>
      <c r="AB41"/>
      <c r="AC41"/>
      <c r="AD41"/>
      <c r="AE41"/>
      <c r="AF41"/>
      <c r="AG41"/>
      <c r="AH41"/>
      <c r="AI41"/>
      <c r="AJ41"/>
      <c r="AK41"/>
      <c r="AL41"/>
      <c r="AM41"/>
      <c r="AN41"/>
      <c r="AO41"/>
      <c r="AP41"/>
      <c r="AQ41"/>
      <c r="AR41"/>
      <c r="AS41"/>
      <c r="AT41"/>
      <c r="AU41"/>
      <c r="AV41"/>
      <c r="AW41"/>
    </row>
    <row r="42" spans="1:49" s="125" customFormat="1" ht="20.25" customHeight="1">
      <c r="A42" s="129" t="s">
        <v>231</v>
      </c>
      <c r="B42" s="174">
        <v>3</v>
      </c>
      <c r="C42" s="322">
        <v>528.4</v>
      </c>
      <c r="D42" s="174"/>
      <c r="E42" s="322"/>
      <c r="F42" s="174"/>
      <c r="G42" s="322"/>
      <c r="H42" s="174"/>
      <c r="I42" s="322"/>
      <c r="J42" s="174"/>
      <c r="K42" s="322"/>
      <c r="L42" s="174"/>
      <c r="M42" s="322"/>
      <c r="N42" s="174"/>
      <c r="O42" s="322"/>
      <c r="P42" s="174"/>
      <c r="Q42" s="322"/>
      <c r="R42" s="176">
        <f t="shared" si="5"/>
        <v>3</v>
      </c>
      <c r="S42" s="823">
        <f t="shared" si="6"/>
        <v>528.4</v>
      </c>
      <c r="T42"/>
      <c r="U42"/>
      <c r="V42"/>
      <c r="W42"/>
      <c r="X42"/>
      <c r="Y42"/>
      <c r="Z42"/>
      <c r="AA42"/>
      <c r="AB42"/>
      <c r="AC42"/>
      <c r="AD42"/>
      <c r="AE42"/>
      <c r="AF42"/>
      <c r="AG42"/>
      <c r="AH42"/>
      <c r="AI42"/>
      <c r="AJ42"/>
      <c r="AK42"/>
      <c r="AL42"/>
      <c r="AM42"/>
      <c r="AN42"/>
      <c r="AO42"/>
      <c r="AP42"/>
      <c r="AQ42"/>
      <c r="AR42"/>
      <c r="AS42"/>
      <c r="AT42"/>
      <c r="AU42"/>
      <c r="AV42"/>
      <c r="AW42"/>
    </row>
    <row r="43" spans="1:49" s="125" customFormat="1" ht="20.25" customHeight="1">
      <c r="A43" s="129" t="s">
        <v>103</v>
      </c>
      <c r="B43" s="174">
        <v>1</v>
      </c>
      <c r="C43" s="322">
        <v>172.4</v>
      </c>
      <c r="D43" s="174"/>
      <c r="E43" s="322"/>
      <c r="F43" s="174"/>
      <c r="G43" s="322"/>
      <c r="H43" s="174"/>
      <c r="I43" s="322"/>
      <c r="J43" s="174"/>
      <c r="K43" s="322"/>
      <c r="L43" s="174"/>
      <c r="M43" s="322"/>
      <c r="N43" s="174"/>
      <c r="O43" s="322"/>
      <c r="P43" s="174"/>
      <c r="Q43" s="322"/>
      <c r="R43" s="176">
        <f t="shared" si="5"/>
        <v>1</v>
      </c>
      <c r="S43" s="823">
        <f t="shared" si="6"/>
        <v>172.4</v>
      </c>
      <c r="T43"/>
      <c r="U43"/>
      <c r="V43"/>
      <c r="W43"/>
      <c r="X43"/>
      <c r="Y43"/>
      <c r="Z43"/>
      <c r="AA43"/>
      <c r="AB43"/>
      <c r="AC43"/>
      <c r="AD43"/>
      <c r="AE43"/>
      <c r="AF43"/>
      <c r="AG43"/>
      <c r="AH43"/>
      <c r="AI43"/>
      <c r="AJ43"/>
      <c r="AK43"/>
      <c r="AL43"/>
      <c r="AM43"/>
      <c r="AN43"/>
      <c r="AO43"/>
      <c r="AP43"/>
      <c r="AQ43"/>
      <c r="AR43"/>
      <c r="AS43"/>
      <c r="AT43"/>
      <c r="AU43"/>
      <c r="AV43"/>
      <c r="AW43"/>
    </row>
    <row r="44" spans="1:49" s="125" customFormat="1" ht="20.25" customHeight="1">
      <c r="A44" s="129" t="s">
        <v>222</v>
      </c>
      <c r="B44" s="174">
        <v>1</v>
      </c>
      <c r="C44" s="322">
        <v>155.8</v>
      </c>
      <c r="D44" s="174"/>
      <c r="E44" s="322"/>
      <c r="F44" s="174"/>
      <c r="G44" s="322"/>
      <c r="H44" s="174"/>
      <c r="I44" s="322"/>
      <c r="J44" s="174"/>
      <c r="K44" s="322"/>
      <c r="L44" s="174"/>
      <c r="M44" s="322"/>
      <c r="N44" s="174"/>
      <c r="O44" s="322"/>
      <c r="P44" s="174"/>
      <c r="Q44" s="322"/>
      <c r="R44" s="176">
        <f t="shared" si="5"/>
        <v>1</v>
      </c>
      <c r="S44" s="823">
        <f t="shared" si="6"/>
        <v>155.8</v>
      </c>
      <c r="T44"/>
      <c r="U44"/>
      <c r="V44"/>
      <c r="W44"/>
      <c r="X44"/>
      <c r="Y44"/>
      <c r="Z44"/>
      <c r="AA44"/>
      <c r="AB44"/>
      <c r="AC44"/>
      <c r="AD44"/>
      <c r="AE44"/>
      <c r="AF44"/>
      <c r="AG44"/>
      <c r="AH44"/>
      <c r="AI44"/>
      <c r="AJ44"/>
      <c r="AK44"/>
      <c r="AL44"/>
      <c r="AM44"/>
      <c r="AN44"/>
      <c r="AO44"/>
      <c r="AP44"/>
      <c r="AQ44"/>
      <c r="AR44"/>
      <c r="AS44"/>
      <c r="AT44"/>
      <c r="AU44"/>
      <c r="AV44"/>
      <c r="AW44"/>
    </row>
    <row r="45" spans="1:49" s="125" customFormat="1" ht="20.25" customHeight="1">
      <c r="A45" s="129" t="s">
        <v>104</v>
      </c>
      <c r="B45" s="174">
        <v>4</v>
      </c>
      <c r="C45" s="322">
        <v>517.8</v>
      </c>
      <c r="D45" s="174"/>
      <c r="E45" s="322"/>
      <c r="F45" s="174"/>
      <c r="G45" s="322"/>
      <c r="H45" s="174"/>
      <c r="I45" s="322"/>
      <c r="J45" s="174"/>
      <c r="K45" s="322"/>
      <c r="L45" s="174">
        <v>2</v>
      </c>
      <c r="M45" s="322">
        <v>115.8</v>
      </c>
      <c r="N45" s="174"/>
      <c r="O45" s="322"/>
      <c r="P45" s="174">
        <v>1</v>
      </c>
      <c r="Q45" s="322">
        <v>205.6</v>
      </c>
      <c r="R45" s="176">
        <f t="shared" si="5"/>
        <v>7</v>
      </c>
      <c r="S45" s="823">
        <f t="shared" si="6"/>
        <v>839.1999999999999</v>
      </c>
      <c r="T45"/>
      <c r="U45"/>
      <c r="V45"/>
      <c r="W45"/>
      <c r="X45"/>
      <c r="Y45"/>
      <c r="Z45"/>
      <c r="AA45"/>
      <c r="AB45"/>
      <c r="AC45"/>
      <c r="AD45"/>
      <c r="AE45"/>
      <c r="AF45"/>
      <c r="AG45"/>
      <c r="AH45"/>
      <c r="AI45"/>
      <c r="AJ45"/>
      <c r="AK45"/>
      <c r="AL45"/>
      <c r="AM45"/>
      <c r="AN45"/>
      <c r="AO45"/>
      <c r="AP45"/>
      <c r="AQ45"/>
      <c r="AR45"/>
      <c r="AS45"/>
      <c r="AT45"/>
      <c r="AU45"/>
      <c r="AV45"/>
      <c r="AW45"/>
    </row>
    <row r="46" spans="1:49" s="125" customFormat="1" ht="20.25" customHeight="1">
      <c r="A46" s="129" t="s">
        <v>108</v>
      </c>
      <c r="B46" s="174"/>
      <c r="C46" s="322"/>
      <c r="D46" s="174"/>
      <c r="E46" s="322"/>
      <c r="F46" s="174"/>
      <c r="G46" s="322"/>
      <c r="H46" s="174"/>
      <c r="I46" s="322"/>
      <c r="J46" s="174"/>
      <c r="K46" s="322"/>
      <c r="L46" s="174">
        <v>3</v>
      </c>
      <c r="M46" s="322">
        <v>178.8</v>
      </c>
      <c r="N46" s="174"/>
      <c r="O46" s="322"/>
      <c r="P46" s="174"/>
      <c r="Q46" s="322"/>
      <c r="R46" s="176">
        <f aca="true" t="shared" si="7" ref="R46:S48">SUM(B46,J46,N46,D46,F46,H46,L46,P46)</f>
        <v>3</v>
      </c>
      <c r="S46" s="823">
        <f t="shared" si="7"/>
        <v>178.8</v>
      </c>
      <c r="T46"/>
      <c r="U46"/>
      <c r="V46"/>
      <c r="W46"/>
      <c r="X46"/>
      <c r="Y46"/>
      <c r="Z46"/>
      <c r="AA46"/>
      <c r="AB46"/>
      <c r="AC46"/>
      <c r="AD46"/>
      <c r="AE46"/>
      <c r="AF46"/>
      <c r="AG46"/>
      <c r="AH46"/>
      <c r="AI46"/>
      <c r="AJ46"/>
      <c r="AK46"/>
      <c r="AL46"/>
      <c r="AM46"/>
      <c r="AN46"/>
      <c r="AO46"/>
      <c r="AP46"/>
      <c r="AQ46"/>
      <c r="AR46"/>
      <c r="AS46"/>
      <c r="AT46"/>
      <c r="AU46"/>
      <c r="AV46"/>
      <c r="AW46"/>
    </row>
    <row r="47" spans="1:49" s="125" customFormat="1" ht="20.25" customHeight="1">
      <c r="A47" s="129" t="s">
        <v>105</v>
      </c>
      <c r="B47" s="174"/>
      <c r="C47" s="322"/>
      <c r="D47" s="174"/>
      <c r="E47" s="322"/>
      <c r="F47" s="174"/>
      <c r="G47" s="322"/>
      <c r="H47" s="174">
        <v>1</v>
      </c>
      <c r="I47" s="322">
        <v>79</v>
      </c>
      <c r="J47" s="174"/>
      <c r="K47" s="322"/>
      <c r="L47" s="174"/>
      <c r="M47" s="322"/>
      <c r="N47" s="174"/>
      <c r="O47" s="322"/>
      <c r="P47" s="174">
        <v>1</v>
      </c>
      <c r="Q47" s="322">
        <v>210.8</v>
      </c>
      <c r="R47" s="176">
        <f t="shared" si="7"/>
        <v>2</v>
      </c>
      <c r="S47" s="823">
        <f t="shared" si="7"/>
        <v>289.8</v>
      </c>
      <c r="T47"/>
      <c r="U47"/>
      <c r="V47"/>
      <c r="W47"/>
      <c r="X47"/>
      <c r="Y47"/>
      <c r="Z47"/>
      <c r="AA47"/>
      <c r="AB47"/>
      <c r="AC47"/>
      <c r="AD47"/>
      <c r="AE47"/>
      <c r="AF47"/>
      <c r="AG47"/>
      <c r="AH47"/>
      <c r="AI47"/>
      <c r="AJ47"/>
      <c r="AK47"/>
      <c r="AL47"/>
      <c r="AM47"/>
      <c r="AN47"/>
      <c r="AO47"/>
      <c r="AP47"/>
      <c r="AQ47"/>
      <c r="AR47"/>
      <c r="AS47"/>
      <c r="AT47"/>
      <c r="AU47"/>
      <c r="AV47"/>
      <c r="AW47"/>
    </row>
    <row r="48" spans="1:49" s="125" customFormat="1" ht="20.25" customHeight="1">
      <c r="A48" s="130" t="s">
        <v>155</v>
      </c>
      <c r="B48" s="335"/>
      <c r="C48" s="336"/>
      <c r="D48" s="335"/>
      <c r="E48" s="336"/>
      <c r="F48" s="335"/>
      <c r="G48" s="336"/>
      <c r="H48" s="335"/>
      <c r="I48" s="336"/>
      <c r="J48" s="335"/>
      <c r="K48" s="336"/>
      <c r="L48" s="335">
        <v>2</v>
      </c>
      <c r="M48" s="336">
        <v>286.6</v>
      </c>
      <c r="N48" s="335"/>
      <c r="O48" s="336"/>
      <c r="P48" s="335"/>
      <c r="Q48" s="336"/>
      <c r="R48" s="337">
        <f t="shared" si="7"/>
        <v>2</v>
      </c>
      <c r="S48" s="825">
        <f t="shared" si="7"/>
        <v>286.6</v>
      </c>
      <c r="T48"/>
      <c r="U48"/>
      <c r="V48"/>
      <c r="W48"/>
      <c r="X48"/>
      <c r="Y48"/>
      <c r="Z48"/>
      <c r="AA48"/>
      <c r="AB48"/>
      <c r="AC48"/>
      <c r="AD48"/>
      <c r="AE48"/>
      <c r="AF48"/>
      <c r="AG48"/>
      <c r="AH48"/>
      <c r="AI48"/>
      <c r="AJ48"/>
      <c r="AK48"/>
      <c r="AL48"/>
      <c r="AM48"/>
      <c r="AN48"/>
      <c r="AO48"/>
      <c r="AP48"/>
      <c r="AQ48"/>
      <c r="AR48"/>
      <c r="AS48"/>
      <c r="AT48"/>
      <c r="AU48"/>
      <c r="AV48"/>
      <c r="AW48"/>
    </row>
    <row r="49" spans="1:49" s="125" customFormat="1" ht="20.25" customHeight="1">
      <c r="A49" s="1100" t="s">
        <v>497</v>
      </c>
      <c r="B49" s="174"/>
      <c r="C49" s="322"/>
      <c r="D49" s="174"/>
      <c r="E49" s="322"/>
      <c r="F49" s="174"/>
      <c r="G49" s="322"/>
      <c r="H49" s="174"/>
      <c r="I49" s="322"/>
      <c r="J49" s="174"/>
      <c r="K49" s="322"/>
      <c r="L49" s="174"/>
      <c r="M49" s="322"/>
      <c r="N49" s="174"/>
      <c r="O49" s="322"/>
      <c r="P49" s="174"/>
      <c r="Q49" s="322"/>
      <c r="R49" s="176"/>
      <c r="S49" s="333"/>
      <c r="T49"/>
      <c r="U49"/>
      <c r="V49"/>
      <c r="W49"/>
      <c r="X49"/>
      <c r="Y49"/>
      <c r="Z49"/>
      <c r="AA49"/>
      <c r="AB49"/>
      <c r="AC49"/>
      <c r="AD49"/>
      <c r="AE49"/>
      <c r="AF49"/>
      <c r="AG49"/>
      <c r="AH49"/>
      <c r="AI49"/>
      <c r="AJ49"/>
      <c r="AK49"/>
      <c r="AL49"/>
      <c r="AM49"/>
      <c r="AN49"/>
      <c r="AO49"/>
      <c r="AP49"/>
      <c r="AQ49"/>
      <c r="AR49"/>
      <c r="AS49"/>
      <c r="AT49"/>
      <c r="AU49"/>
      <c r="AV49"/>
      <c r="AW49"/>
    </row>
    <row r="50" spans="1:49" s="125" customFormat="1" ht="20.25" customHeight="1">
      <c r="A50" s="129" t="s">
        <v>263</v>
      </c>
      <c r="B50" s="174"/>
      <c r="C50" s="322"/>
      <c r="D50" s="174"/>
      <c r="E50" s="322"/>
      <c r="F50" s="174"/>
      <c r="G50" s="322"/>
      <c r="H50" s="174"/>
      <c r="I50" s="322"/>
      <c r="J50" s="174"/>
      <c r="K50" s="322"/>
      <c r="L50" s="174">
        <v>1</v>
      </c>
      <c r="M50" s="322">
        <v>56.3</v>
      </c>
      <c r="N50" s="174"/>
      <c r="O50" s="322"/>
      <c r="P50" s="174"/>
      <c r="Q50" s="322"/>
      <c r="R50" s="176">
        <f aca="true" t="shared" si="8" ref="R50:S52">SUM(B50,J50,N50,D50,F50,H50,L50,P50)</f>
        <v>1</v>
      </c>
      <c r="S50" s="823">
        <f t="shared" si="8"/>
        <v>56.3</v>
      </c>
      <c r="T50"/>
      <c r="U50"/>
      <c r="V50"/>
      <c r="W50"/>
      <c r="X50"/>
      <c r="Y50"/>
      <c r="Z50"/>
      <c r="AA50"/>
      <c r="AB50"/>
      <c r="AC50"/>
      <c r="AD50"/>
      <c r="AE50"/>
      <c r="AF50"/>
      <c r="AG50"/>
      <c r="AH50"/>
      <c r="AI50"/>
      <c r="AJ50"/>
      <c r="AK50"/>
      <c r="AL50"/>
      <c r="AM50"/>
      <c r="AN50"/>
      <c r="AO50"/>
      <c r="AP50"/>
      <c r="AQ50"/>
      <c r="AR50"/>
      <c r="AS50"/>
      <c r="AT50"/>
      <c r="AU50"/>
      <c r="AV50"/>
      <c r="AW50"/>
    </row>
    <row r="51" spans="1:49" s="822" customFormat="1" ht="20.25" customHeight="1">
      <c r="A51" s="10" t="s">
        <v>23</v>
      </c>
      <c r="B51" s="174"/>
      <c r="C51" s="322"/>
      <c r="D51" s="174"/>
      <c r="E51" s="322"/>
      <c r="F51" s="174"/>
      <c r="G51" s="322"/>
      <c r="H51" s="174">
        <v>1</v>
      </c>
      <c r="I51" s="322">
        <v>118.7</v>
      </c>
      <c r="J51" s="174"/>
      <c r="K51" s="322"/>
      <c r="L51" s="174"/>
      <c r="M51" s="322"/>
      <c r="N51" s="174"/>
      <c r="O51" s="322"/>
      <c r="P51" s="174">
        <v>1</v>
      </c>
      <c r="Q51" s="322">
        <v>249.8</v>
      </c>
      <c r="R51" s="176">
        <f t="shared" si="8"/>
        <v>2</v>
      </c>
      <c r="S51" s="823">
        <f t="shared" si="8"/>
        <v>368.5</v>
      </c>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row>
    <row r="52" spans="1:49" s="125" customFormat="1" ht="20.25" customHeight="1">
      <c r="A52" s="16" t="s">
        <v>24</v>
      </c>
      <c r="B52" s="335"/>
      <c r="C52" s="336"/>
      <c r="D52" s="335"/>
      <c r="E52" s="336"/>
      <c r="F52" s="335"/>
      <c r="G52" s="336"/>
      <c r="H52" s="335">
        <v>1</v>
      </c>
      <c r="I52" s="336">
        <v>122</v>
      </c>
      <c r="J52" s="335">
        <v>2</v>
      </c>
      <c r="K52" s="336">
        <v>257</v>
      </c>
      <c r="L52" s="335">
        <v>1</v>
      </c>
      <c r="M52" s="336">
        <v>165.7</v>
      </c>
      <c r="N52" s="335"/>
      <c r="O52" s="336"/>
      <c r="P52" s="335"/>
      <c r="Q52" s="336"/>
      <c r="R52" s="337">
        <f t="shared" si="8"/>
        <v>4</v>
      </c>
      <c r="S52" s="825">
        <f t="shared" si="8"/>
        <v>544.7</v>
      </c>
      <c r="T52"/>
      <c r="U52"/>
      <c r="V52"/>
      <c r="W52"/>
      <c r="X52"/>
      <c r="Y52"/>
      <c r="Z52"/>
      <c r="AA52"/>
      <c r="AB52"/>
      <c r="AC52"/>
      <c r="AD52"/>
      <c r="AE52"/>
      <c r="AF52"/>
      <c r="AG52"/>
      <c r="AH52"/>
      <c r="AI52"/>
      <c r="AJ52"/>
      <c r="AK52"/>
      <c r="AL52"/>
      <c r="AM52"/>
      <c r="AN52"/>
      <c r="AO52"/>
      <c r="AP52"/>
      <c r="AQ52"/>
      <c r="AR52"/>
      <c r="AS52"/>
      <c r="AT52"/>
      <c r="AU52"/>
      <c r="AV52"/>
      <c r="AW52"/>
    </row>
    <row r="53" spans="1:49" s="125" customFormat="1" ht="20.25" customHeight="1">
      <c r="A53" s="1100" t="s">
        <v>524</v>
      </c>
      <c r="B53" s="174"/>
      <c r="C53" s="322"/>
      <c r="D53" s="174"/>
      <c r="E53" s="322"/>
      <c r="F53" s="174"/>
      <c r="G53" s="322"/>
      <c r="H53" s="174"/>
      <c r="I53" s="322"/>
      <c r="J53" s="174"/>
      <c r="K53" s="322"/>
      <c r="L53" s="174"/>
      <c r="M53" s="322"/>
      <c r="N53" s="174"/>
      <c r="O53" s="322"/>
      <c r="P53" s="174"/>
      <c r="Q53" s="322"/>
      <c r="R53" s="176"/>
      <c r="S53" s="333"/>
      <c r="T53"/>
      <c r="U53"/>
      <c r="V53"/>
      <c r="W53"/>
      <c r="X53"/>
      <c r="Y53"/>
      <c r="Z53"/>
      <c r="AA53"/>
      <c r="AB53"/>
      <c r="AC53"/>
      <c r="AD53"/>
      <c r="AE53"/>
      <c r="AF53"/>
      <c r="AG53"/>
      <c r="AH53"/>
      <c r="AI53"/>
      <c r="AJ53"/>
      <c r="AK53"/>
      <c r="AL53"/>
      <c r="AM53"/>
      <c r="AN53"/>
      <c r="AO53"/>
      <c r="AP53"/>
      <c r="AQ53"/>
      <c r="AR53"/>
      <c r="AS53"/>
      <c r="AT53"/>
      <c r="AU53"/>
      <c r="AV53"/>
      <c r="AW53"/>
    </row>
    <row r="54" spans="1:49" s="125" customFormat="1" ht="20.25" customHeight="1">
      <c r="A54" s="129" t="s">
        <v>194</v>
      </c>
      <c r="B54" s="174"/>
      <c r="C54" s="322"/>
      <c r="D54" s="174"/>
      <c r="E54" s="322"/>
      <c r="F54" s="174"/>
      <c r="G54" s="322"/>
      <c r="H54" s="174">
        <v>1</v>
      </c>
      <c r="I54" s="322">
        <v>123</v>
      </c>
      <c r="J54" s="174"/>
      <c r="K54" s="322"/>
      <c r="L54" s="174"/>
      <c r="M54" s="322"/>
      <c r="N54" s="174"/>
      <c r="O54" s="322"/>
      <c r="P54" s="174"/>
      <c r="Q54" s="322"/>
      <c r="R54" s="176">
        <f aca="true" t="shared" si="9" ref="R54:R66">SUM(B54,J54,N54,D54,F54,H54,L54,P54)</f>
        <v>1</v>
      </c>
      <c r="S54" s="771">
        <f aca="true" t="shared" si="10" ref="S54:S66">SUM(C54,K54,O54,E54,G54,I54,M54,Q54)</f>
        <v>123</v>
      </c>
      <c r="T54"/>
      <c r="U54"/>
      <c r="V54"/>
      <c r="W54"/>
      <c r="X54"/>
      <c r="Y54"/>
      <c r="Z54"/>
      <c r="AA54"/>
      <c r="AB54"/>
      <c r="AC54"/>
      <c r="AD54"/>
      <c r="AE54"/>
      <c r="AF54"/>
      <c r="AG54"/>
      <c r="AH54"/>
      <c r="AI54"/>
      <c r="AJ54"/>
      <c r="AK54"/>
      <c r="AL54"/>
      <c r="AM54"/>
      <c r="AN54"/>
      <c r="AO54"/>
      <c r="AP54"/>
      <c r="AQ54"/>
      <c r="AR54"/>
      <c r="AS54"/>
      <c r="AT54"/>
      <c r="AU54"/>
      <c r="AV54"/>
      <c r="AW54"/>
    </row>
    <row r="55" spans="1:49" s="125" customFormat="1" ht="20.25" customHeight="1">
      <c r="A55" s="129" t="s">
        <v>150</v>
      </c>
      <c r="B55" s="174">
        <v>1</v>
      </c>
      <c r="C55" s="322">
        <v>280</v>
      </c>
      <c r="D55" s="174"/>
      <c r="E55" s="322"/>
      <c r="F55" s="174"/>
      <c r="G55" s="322"/>
      <c r="H55" s="174">
        <v>1</v>
      </c>
      <c r="I55" s="322">
        <v>244.6</v>
      </c>
      <c r="J55" s="174"/>
      <c r="K55" s="322"/>
      <c r="L55" s="174"/>
      <c r="M55" s="322"/>
      <c r="N55" s="174"/>
      <c r="O55" s="322"/>
      <c r="P55" s="174"/>
      <c r="Q55" s="322"/>
      <c r="R55" s="176">
        <f t="shared" si="9"/>
        <v>2</v>
      </c>
      <c r="S55" s="771">
        <f t="shared" si="10"/>
        <v>524.6</v>
      </c>
      <c r="T55"/>
      <c r="U55"/>
      <c r="V55"/>
      <c r="W55"/>
      <c r="X55"/>
      <c r="Y55"/>
      <c r="Z55"/>
      <c r="AA55"/>
      <c r="AB55"/>
      <c r="AC55"/>
      <c r="AD55"/>
      <c r="AE55"/>
      <c r="AF55"/>
      <c r="AG55"/>
      <c r="AH55"/>
      <c r="AI55"/>
      <c r="AJ55"/>
      <c r="AK55"/>
      <c r="AL55"/>
      <c r="AM55"/>
      <c r="AN55"/>
      <c r="AO55"/>
      <c r="AP55"/>
      <c r="AQ55"/>
      <c r="AR55"/>
      <c r="AS55"/>
      <c r="AT55"/>
      <c r="AU55"/>
      <c r="AV55"/>
      <c r="AW55"/>
    </row>
    <row r="56" spans="1:49" s="125" customFormat="1" ht="20.25" customHeight="1">
      <c r="A56" s="10" t="s">
        <v>43</v>
      </c>
      <c r="B56" s="174"/>
      <c r="C56" s="322"/>
      <c r="D56" s="174"/>
      <c r="E56" s="322"/>
      <c r="F56" s="174"/>
      <c r="G56" s="322"/>
      <c r="H56" s="174">
        <v>1</v>
      </c>
      <c r="I56" s="322">
        <v>222.3</v>
      </c>
      <c r="J56" s="174"/>
      <c r="K56" s="322"/>
      <c r="L56" s="174"/>
      <c r="M56" s="322"/>
      <c r="N56" s="174"/>
      <c r="O56" s="322"/>
      <c r="P56" s="174"/>
      <c r="Q56" s="322"/>
      <c r="R56" s="176">
        <f t="shared" si="9"/>
        <v>1</v>
      </c>
      <c r="S56" s="771">
        <f t="shared" si="10"/>
        <v>222.3</v>
      </c>
      <c r="T56"/>
      <c r="U56"/>
      <c r="V56"/>
      <c r="W56"/>
      <c r="X56"/>
      <c r="Y56"/>
      <c r="Z56"/>
      <c r="AA56"/>
      <c r="AB56"/>
      <c r="AC56"/>
      <c r="AD56"/>
      <c r="AE56"/>
      <c r="AF56"/>
      <c r="AG56"/>
      <c r="AH56"/>
      <c r="AI56"/>
      <c r="AJ56"/>
      <c r="AK56"/>
      <c r="AL56"/>
      <c r="AM56"/>
      <c r="AN56"/>
      <c r="AO56"/>
      <c r="AP56"/>
      <c r="AQ56"/>
      <c r="AR56"/>
      <c r="AS56"/>
      <c r="AT56"/>
      <c r="AU56"/>
      <c r="AV56"/>
      <c r="AW56"/>
    </row>
    <row r="57" spans="1:49" s="125" customFormat="1" ht="20.25" customHeight="1">
      <c r="A57" s="10" t="s">
        <v>147</v>
      </c>
      <c r="B57" s="174">
        <v>1</v>
      </c>
      <c r="C57" s="322">
        <v>339.7</v>
      </c>
      <c r="D57" s="174"/>
      <c r="E57" s="322"/>
      <c r="F57" s="174"/>
      <c r="G57" s="322"/>
      <c r="H57" s="174">
        <v>1</v>
      </c>
      <c r="I57" s="322">
        <v>143.9</v>
      </c>
      <c r="J57" s="174"/>
      <c r="K57" s="322"/>
      <c r="L57" s="174"/>
      <c r="M57" s="322"/>
      <c r="N57" s="174"/>
      <c r="O57" s="322"/>
      <c r="P57" s="174"/>
      <c r="Q57" s="322"/>
      <c r="R57" s="176">
        <f t="shared" si="9"/>
        <v>2</v>
      </c>
      <c r="S57" s="771">
        <f t="shared" si="10"/>
        <v>483.6</v>
      </c>
      <c r="T57"/>
      <c r="U57"/>
      <c r="V57"/>
      <c r="W57"/>
      <c r="X57"/>
      <c r="Y57"/>
      <c r="Z57"/>
      <c r="AA57"/>
      <c r="AB57"/>
      <c r="AC57"/>
      <c r="AD57"/>
      <c r="AE57"/>
      <c r="AF57"/>
      <c r="AG57"/>
      <c r="AH57"/>
      <c r="AI57"/>
      <c r="AJ57"/>
      <c r="AK57"/>
      <c r="AL57"/>
      <c r="AM57"/>
      <c r="AN57"/>
      <c r="AO57"/>
      <c r="AP57"/>
      <c r="AQ57"/>
      <c r="AR57"/>
      <c r="AS57"/>
      <c r="AT57"/>
      <c r="AU57"/>
      <c r="AV57"/>
      <c r="AW57"/>
    </row>
    <row r="58" spans="1:49" s="125" customFormat="1" ht="20.25" customHeight="1">
      <c r="A58" s="10" t="s">
        <v>44</v>
      </c>
      <c r="B58" s="174"/>
      <c r="C58" s="322"/>
      <c r="D58" s="174"/>
      <c r="E58" s="322"/>
      <c r="F58" s="174"/>
      <c r="G58" s="322"/>
      <c r="H58" s="174">
        <v>2</v>
      </c>
      <c r="I58" s="322">
        <v>496.7</v>
      </c>
      <c r="J58" s="174"/>
      <c r="K58" s="322"/>
      <c r="L58" s="174"/>
      <c r="M58" s="322"/>
      <c r="N58" s="174"/>
      <c r="O58" s="322"/>
      <c r="P58" s="174">
        <v>1</v>
      </c>
      <c r="Q58" s="322">
        <v>335</v>
      </c>
      <c r="R58" s="176">
        <f t="shared" si="9"/>
        <v>3</v>
      </c>
      <c r="S58" s="771">
        <f t="shared" si="10"/>
        <v>831.7</v>
      </c>
      <c r="T58"/>
      <c r="U58"/>
      <c r="V58"/>
      <c r="W58"/>
      <c r="X58"/>
      <c r="Y58"/>
      <c r="Z58"/>
      <c r="AA58"/>
      <c r="AB58"/>
      <c r="AC58"/>
      <c r="AD58"/>
      <c r="AE58"/>
      <c r="AF58"/>
      <c r="AG58"/>
      <c r="AH58"/>
      <c r="AI58"/>
      <c r="AJ58"/>
      <c r="AK58"/>
      <c r="AL58"/>
      <c r="AM58"/>
      <c r="AN58"/>
      <c r="AO58"/>
      <c r="AP58"/>
      <c r="AQ58"/>
      <c r="AR58"/>
      <c r="AS58"/>
      <c r="AT58"/>
      <c r="AU58"/>
      <c r="AV58"/>
      <c r="AW58"/>
    </row>
    <row r="59" spans="1:49" s="125" customFormat="1" ht="20.25" customHeight="1">
      <c r="A59" s="10" t="s">
        <v>165</v>
      </c>
      <c r="B59" s="174">
        <v>1</v>
      </c>
      <c r="C59" s="322">
        <v>218.8</v>
      </c>
      <c r="D59" s="174"/>
      <c r="E59" s="322"/>
      <c r="F59" s="174"/>
      <c r="G59" s="322"/>
      <c r="H59" s="174">
        <v>2</v>
      </c>
      <c r="I59" s="322">
        <v>319.8</v>
      </c>
      <c r="J59" s="174"/>
      <c r="K59" s="322"/>
      <c r="L59" s="174"/>
      <c r="M59" s="322"/>
      <c r="N59" s="174"/>
      <c r="O59" s="322"/>
      <c r="P59" s="174"/>
      <c r="Q59" s="322"/>
      <c r="R59" s="176">
        <f t="shared" si="9"/>
        <v>3</v>
      </c>
      <c r="S59" s="771">
        <f t="shared" si="10"/>
        <v>538.6</v>
      </c>
      <c r="T59"/>
      <c r="U59"/>
      <c r="V59"/>
      <c r="W59"/>
      <c r="X59"/>
      <c r="Y59"/>
      <c r="Z59"/>
      <c r="AA59"/>
      <c r="AB59"/>
      <c r="AC59"/>
      <c r="AD59"/>
      <c r="AE59"/>
      <c r="AF59"/>
      <c r="AG59"/>
      <c r="AH59"/>
      <c r="AI59"/>
      <c r="AJ59"/>
      <c r="AK59"/>
      <c r="AL59"/>
      <c r="AM59"/>
      <c r="AN59"/>
      <c r="AO59"/>
      <c r="AP59"/>
      <c r="AQ59"/>
      <c r="AR59"/>
      <c r="AS59"/>
      <c r="AT59"/>
      <c r="AU59"/>
      <c r="AV59"/>
      <c r="AW59"/>
    </row>
    <row r="60" spans="1:49" s="125" customFormat="1" ht="20.25" customHeight="1">
      <c r="A60" s="129" t="s">
        <v>230</v>
      </c>
      <c r="B60" s="174"/>
      <c r="C60" s="322"/>
      <c r="D60" s="174"/>
      <c r="E60" s="322"/>
      <c r="F60" s="174"/>
      <c r="G60" s="322"/>
      <c r="H60" s="174">
        <v>2</v>
      </c>
      <c r="I60" s="322">
        <v>459</v>
      </c>
      <c r="J60" s="174"/>
      <c r="K60" s="322"/>
      <c r="L60" s="174"/>
      <c r="M60" s="322"/>
      <c r="N60" s="174"/>
      <c r="O60" s="322"/>
      <c r="P60" s="174"/>
      <c r="Q60" s="322"/>
      <c r="R60" s="176">
        <f t="shared" si="9"/>
        <v>2</v>
      </c>
      <c r="S60" s="771">
        <f t="shared" si="10"/>
        <v>459</v>
      </c>
      <c r="T60"/>
      <c r="U60"/>
      <c r="V60"/>
      <c r="W60"/>
      <c r="X60"/>
      <c r="Y60"/>
      <c r="Z60"/>
      <c r="AA60"/>
      <c r="AB60"/>
      <c r="AC60"/>
      <c r="AD60"/>
      <c r="AE60"/>
      <c r="AF60"/>
      <c r="AG60"/>
      <c r="AH60"/>
      <c r="AI60"/>
      <c r="AJ60"/>
      <c r="AK60"/>
      <c r="AL60"/>
      <c r="AM60"/>
      <c r="AN60"/>
      <c r="AO60"/>
      <c r="AP60"/>
      <c r="AQ60"/>
      <c r="AR60"/>
      <c r="AS60"/>
      <c r="AT60"/>
      <c r="AU60"/>
      <c r="AV60"/>
      <c r="AW60"/>
    </row>
    <row r="61" spans="1:49" s="125" customFormat="1" ht="20.25" customHeight="1">
      <c r="A61" s="10" t="s">
        <v>45</v>
      </c>
      <c r="B61" s="174"/>
      <c r="C61" s="322"/>
      <c r="D61" s="174"/>
      <c r="E61" s="322"/>
      <c r="F61" s="174"/>
      <c r="G61" s="322"/>
      <c r="H61" s="174">
        <v>1</v>
      </c>
      <c r="I61" s="322">
        <v>189.9</v>
      </c>
      <c r="J61" s="174"/>
      <c r="K61" s="322"/>
      <c r="L61" s="174"/>
      <c r="M61" s="322"/>
      <c r="N61" s="174"/>
      <c r="O61" s="322"/>
      <c r="P61" s="174"/>
      <c r="Q61" s="322"/>
      <c r="R61" s="176">
        <f t="shared" si="9"/>
        <v>1</v>
      </c>
      <c r="S61" s="771">
        <f t="shared" si="10"/>
        <v>189.9</v>
      </c>
      <c r="T61"/>
      <c r="U61"/>
      <c r="V61"/>
      <c r="W61"/>
      <c r="X61"/>
      <c r="Y61"/>
      <c r="Z61"/>
      <c r="AA61"/>
      <c r="AB61"/>
      <c r="AC61"/>
      <c r="AD61"/>
      <c r="AE61"/>
      <c r="AF61"/>
      <c r="AG61"/>
      <c r="AH61"/>
      <c r="AI61"/>
      <c r="AJ61"/>
      <c r="AK61"/>
      <c r="AL61"/>
      <c r="AM61"/>
      <c r="AN61"/>
      <c r="AO61"/>
      <c r="AP61"/>
      <c r="AQ61"/>
      <c r="AR61"/>
      <c r="AS61"/>
      <c r="AT61"/>
      <c r="AU61"/>
      <c r="AV61"/>
      <c r="AW61"/>
    </row>
    <row r="62" spans="1:49" s="125" customFormat="1" ht="20.25" customHeight="1">
      <c r="A62" s="10" t="s">
        <v>148</v>
      </c>
      <c r="B62" s="174">
        <v>1</v>
      </c>
      <c r="C62" s="322">
        <v>240</v>
      </c>
      <c r="D62" s="174"/>
      <c r="E62" s="322"/>
      <c r="F62" s="174"/>
      <c r="G62" s="322"/>
      <c r="H62" s="174"/>
      <c r="I62" s="322"/>
      <c r="J62" s="174"/>
      <c r="K62" s="322"/>
      <c r="L62" s="174"/>
      <c r="M62" s="322"/>
      <c r="N62" s="174"/>
      <c r="O62" s="322"/>
      <c r="P62" s="174"/>
      <c r="Q62" s="322"/>
      <c r="R62" s="176">
        <f t="shared" si="9"/>
        <v>1</v>
      </c>
      <c r="S62" s="771">
        <f t="shared" si="10"/>
        <v>240</v>
      </c>
      <c r="T62"/>
      <c r="U62"/>
      <c r="V62"/>
      <c r="W62"/>
      <c r="X62"/>
      <c r="Y62"/>
      <c r="Z62"/>
      <c r="AA62"/>
      <c r="AB62"/>
      <c r="AC62"/>
      <c r="AD62"/>
      <c r="AE62"/>
      <c r="AF62"/>
      <c r="AG62"/>
      <c r="AH62"/>
      <c r="AI62"/>
      <c r="AJ62"/>
      <c r="AK62"/>
      <c r="AL62"/>
      <c r="AM62"/>
      <c r="AN62"/>
      <c r="AO62"/>
      <c r="AP62"/>
      <c r="AQ62"/>
      <c r="AR62"/>
      <c r="AS62"/>
      <c r="AT62"/>
      <c r="AU62"/>
      <c r="AV62"/>
      <c r="AW62"/>
    </row>
    <row r="63" spans="1:49" s="125" customFormat="1" ht="20.25" customHeight="1">
      <c r="A63" s="10" t="s">
        <v>167</v>
      </c>
      <c r="B63" s="174">
        <v>1</v>
      </c>
      <c r="C63" s="322">
        <v>247</v>
      </c>
      <c r="D63" s="174"/>
      <c r="E63" s="322"/>
      <c r="F63" s="174"/>
      <c r="G63" s="322"/>
      <c r="H63" s="174"/>
      <c r="I63" s="322"/>
      <c r="J63" s="174"/>
      <c r="K63" s="322"/>
      <c r="L63" s="174"/>
      <c r="M63" s="322"/>
      <c r="N63" s="174"/>
      <c r="O63" s="322"/>
      <c r="P63" s="174"/>
      <c r="Q63" s="322"/>
      <c r="R63" s="176">
        <f t="shared" si="9"/>
        <v>1</v>
      </c>
      <c r="S63" s="771">
        <f t="shared" si="10"/>
        <v>247</v>
      </c>
      <c r="T63"/>
      <c r="U63"/>
      <c r="V63"/>
      <c r="W63"/>
      <c r="X63"/>
      <c r="Y63"/>
      <c r="Z63"/>
      <c r="AA63"/>
      <c r="AB63"/>
      <c r="AC63"/>
      <c r="AD63"/>
      <c r="AE63"/>
      <c r="AF63"/>
      <c r="AG63"/>
      <c r="AH63"/>
      <c r="AI63"/>
      <c r="AJ63"/>
      <c r="AK63"/>
      <c r="AL63"/>
      <c r="AM63"/>
      <c r="AN63"/>
      <c r="AO63"/>
      <c r="AP63"/>
      <c r="AQ63"/>
      <c r="AR63"/>
      <c r="AS63"/>
      <c r="AT63"/>
      <c r="AU63"/>
      <c r="AV63"/>
      <c r="AW63"/>
    </row>
    <row r="64" spans="1:49" s="125" customFormat="1" ht="20.25" customHeight="1">
      <c r="A64" s="10" t="s">
        <v>46</v>
      </c>
      <c r="B64" s="174"/>
      <c r="C64" s="322"/>
      <c r="D64" s="174"/>
      <c r="E64" s="322"/>
      <c r="F64" s="174"/>
      <c r="G64" s="322"/>
      <c r="H64" s="174">
        <v>3</v>
      </c>
      <c r="I64" s="322">
        <v>687.3</v>
      </c>
      <c r="J64" s="174"/>
      <c r="K64" s="322"/>
      <c r="L64" s="174"/>
      <c r="M64" s="322"/>
      <c r="N64" s="174"/>
      <c r="O64" s="322"/>
      <c r="P64" s="174">
        <v>1</v>
      </c>
      <c r="Q64" s="322">
        <v>359.6</v>
      </c>
      <c r="R64" s="176">
        <f t="shared" si="9"/>
        <v>4</v>
      </c>
      <c r="S64" s="771">
        <f t="shared" si="10"/>
        <v>1046.9</v>
      </c>
      <c r="T64"/>
      <c r="U64"/>
      <c r="V64"/>
      <c r="W64"/>
      <c r="X64"/>
      <c r="Y64"/>
      <c r="Z64"/>
      <c r="AA64"/>
      <c r="AB64"/>
      <c r="AC64"/>
      <c r="AD64"/>
      <c r="AE64"/>
      <c r="AF64"/>
      <c r="AG64"/>
      <c r="AH64"/>
      <c r="AI64"/>
      <c r="AJ64"/>
      <c r="AK64"/>
      <c r="AL64"/>
      <c r="AM64"/>
      <c r="AN64"/>
      <c r="AO64"/>
      <c r="AP64"/>
      <c r="AQ64"/>
      <c r="AR64"/>
      <c r="AS64"/>
      <c r="AT64"/>
      <c r="AU64"/>
      <c r="AV64"/>
      <c r="AW64"/>
    </row>
    <row r="65" spans="1:49" s="125" customFormat="1" ht="20.25" customHeight="1">
      <c r="A65" s="10" t="s">
        <v>266</v>
      </c>
      <c r="B65" s="174">
        <v>2</v>
      </c>
      <c r="C65" s="322">
        <v>549.2</v>
      </c>
      <c r="D65" s="174"/>
      <c r="E65" s="322"/>
      <c r="F65" s="174"/>
      <c r="G65" s="322"/>
      <c r="H65" s="174"/>
      <c r="I65" s="322"/>
      <c r="J65" s="174"/>
      <c r="K65" s="322"/>
      <c r="L65" s="174">
        <v>1</v>
      </c>
      <c r="M65" s="322">
        <v>274.4</v>
      </c>
      <c r="N65" s="174"/>
      <c r="O65" s="322"/>
      <c r="P65" s="174"/>
      <c r="Q65" s="322"/>
      <c r="R65" s="176">
        <f t="shared" si="9"/>
        <v>3</v>
      </c>
      <c r="S65" s="771">
        <f t="shared" si="10"/>
        <v>823.6</v>
      </c>
      <c r="T65"/>
      <c r="U65"/>
      <c r="V65"/>
      <c r="W65"/>
      <c r="X65"/>
      <c r="Y65"/>
      <c r="Z65"/>
      <c r="AA65"/>
      <c r="AB65"/>
      <c r="AC65"/>
      <c r="AD65"/>
      <c r="AE65"/>
      <c r="AF65"/>
      <c r="AG65"/>
      <c r="AH65"/>
      <c r="AI65"/>
      <c r="AJ65"/>
      <c r="AK65"/>
      <c r="AL65"/>
      <c r="AM65"/>
      <c r="AN65"/>
      <c r="AO65"/>
      <c r="AP65"/>
      <c r="AQ65"/>
      <c r="AR65"/>
      <c r="AS65"/>
      <c r="AT65"/>
      <c r="AU65"/>
      <c r="AV65"/>
      <c r="AW65"/>
    </row>
    <row r="66" spans="1:49" s="125" customFormat="1" ht="20.25" customHeight="1">
      <c r="A66" s="10" t="s">
        <v>265</v>
      </c>
      <c r="B66" s="174">
        <v>1</v>
      </c>
      <c r="C66" s="322">
        <v>259.8</v>
      </c>
      <c r="D66" s="174"/>
      <c r="E66" s="322"/>
      <c r="F66" s="174"/>
      <c r="G66" s="322"/>
      <c r="H66" s="174"/>
      <c r="I66" s="322"/>
      <c r="J66" s="174"/>
      <c r="K66" s="322"/>
      <c r="L66" s="174"/>
      <c r="M66" s="322"/>
      <c r="N66" s="174"/>
      <c r="O66" s="322"/>
      <c r="P66" s="174"/>
      <c r="Q66" s="322"/>
      <c r="R66" s="176">
        <f t="shared" si="9"/>
        <v>1</v>
      </c>
      <c r="S66" s="771">
        <f t="shared" si="10"/>
        <v>259.8</v>
      </c>
      <c r="T66"/>
      <c r="U66"/>
      <c r="V66"/>
      <c r="W66"/>
      <c r="X66"/>
      <c r="Y66"/>
      <c r="Z66"/>
      <c r="AA66"/>
      <c r="AB66"/>
      <c r="AC66"/>
      <c r="AD66"/>
      <c r="AE66"/>
      <c r="AF66"/>
      <c r="AG66"/>
      <c r="AH66"/>
      <c r="AI66"/>
      <c r="AJ66"/>
      <c r="AK66"/>
      <c r="AL66"/>
      <c r="AM66"/>
      <c r="AN66"/>
      <c r="AO66"/>
      <c r="AP66"/>
      <c r="AQ66"/>
      <c r="AR66"/>
      <c r="AS66"/>
      <c r="AT66"/>
      <c r="AU66"/>
      <c r="AV66"/>
      <c r="AW66"/>
    </row>
    <row r="67" spans="1:49" s="125" customFormat="1" ht="20.25" customHeight="1">
      <c r="A67" s="16" t="s">
        <v>116</v>
      </c>
      <c r="B67" s="335"/>
      <c r="C67" s="336"/>
      <c r="D67" s="335"/>
      <c r="E67" s="336"/>
      <c r="F67" s="335"/>
      <c r="G67" s="336"/>
      <c r="H67" s="335">
        <v>2</v>
      </c>
      <c r="I67" s="336">
        <v>368.2</v>
      </c>
      <c r="J67" s="335"/>
      <c r="K67" s="336"/>
      <c r="L67" s="335"/>
      <c r="M67" s="336"/>
      <c r="N67" s="335"/>
      <c r="O67" s="336"/>
      <c r="P67" s="335"/>
      <c r="Q67" s="336"/>
      <c r="R67" s="337">
        <f>SUM(B67,J67,N67,D67,F67,H67,L67,P67)</f>
        <v>2</v>
      </c>
      <c r="S67" s="824">
        <f>SUM(C67,K67,O67,E67,G67,I67,M67,Q67)</f>
        <v>368.2</v>
      </c>
      <c r="T67"/>
      <c r="U67"/>
      <c r="V67"/>
      <c r="W67"/>
      <c r="X67"/>
      <c r="Y67"/>
      <c r="Z67"/>
      <c r="AA67"/>
      <c r="AB67"/>
      <c r="AC67"/>
      <c r="AD67"/>
      <c r="AE67"/>
      <c r="AF67"/>
      <c r="AG67"/>
      <c r="AH67"/>
      <c r="AI67"/>
      <c r="AJ67"/>
      <c r="AK67"/>
      <c r="AL67"/>
      <c r="AM67"/>
      <c r="AN67"/>
      <c r="AO67"/>
      <c r="AP67"/>
      <c r="AQ67"/>
      <c r="AR67"/>
      <c r="AS67"/>
      <c r="AT67"/>
      <c r="AU67"/>
      <c r="AV67"/>
      <c r="AW67"/>
    </row>
    <row r="68" spans="1:49" s="125" customFormat="1" ht="22.5" customHeight="1" thickBot="1">
      <c r="A68" s="132" t="s">
        <v>525</v>
      </c>
      <c r="B68" s="174">
        <v>11</v>
      </c>
      <c r="C68" s="322">
        <v>967.5</v>
      </c>
      <c r="D68" s="174">
        <v>2</v>
      </c>
      <c r="E68" s="322">
        <v>286.8</v>
      </c>
      <c r="F68" s="174"/>
      <c r="G68" s="322"/>
      <c r="H68" s="174">
        <v>6</v>
      </c>
      <c r="I68" s="322">
        <v>272.9</v>
      </c>
      <c r="J68" s="174">
        <v>2</v>
      </c>
      <c r="K68" s="322">
        <v>165.3</v>
      </c>
      <c r="L68" s="174">
        <v>5</v>
      </c>
      <c r="M68" s="322">
        <v>497.4</v>
      </c>
      <c r="N68" s="174"/>
      <c r="O68" s="322"/>
      <c r="P68" s="174">
        <v>2</v>
      </c>
      <c r="Q68" s="322">
        <v>308</v>
      </c>
      <c r="R68" s="176">
        <f>SUM(B68,J68,N68,D68,F68,H68,L68,P68)</f>
        <v>28</v>
      </c>
      <c r="S68" s="771">
        <f>SUM(C68,O68,K68,E68,G68,I68,M68,Q68)</f>
        <v>2497.9</v>
      </c>
      <c r="T68"/>
      <c r="U68"/>
      <c r="V68"/>
      <c r="W68"/>
      <c r="X68"/>
      <c r="Y68"/>
      <c r="Z68"/>
      <c r="AA68"/>
      <c r="AB68"/>
      <c r="AC68"/>
      <c r="AD68"/>
      <c r="AE68"/>
      <c r="AF68"/>
      <c r="AG68"/>
      <c r="AH68"/>
      <c r="AI68"/>
      <c r="AJ68"/>
      <c r="AK68"/>
      <c r="AL68"/>
      <c r="AM68"/>
      <c r="AN68"/>
      <c r="AO68"/>
      <c r="AP68"/>
      <c r="AQ68"/>
      <c r="AR68"/>
      <c r="AS68"/>
      <c r="AT68"/>
      <c r="AU68"/>
      <c r="AV68"/>
      <c r="AW68"/>
    </row>
    <row r="69" spans="1:49" s="125" customFormat="1" ht="23.25" customHeight="1" thickBot="1">
      <c r="A69" s="133" t="s">
        <v>507</v>
      </c>
      <c r="B69" s="134">
        <f aca="true" t="shared" si="11" ref="B69:S69">SUM(B5:B68)</f>
        <v>94</v>
      </c>
      <c r="C69" s="770">
        <f t="shared" si="11"/>
        <v>13218.199999999999</v>
      </c>
      <c r="D69" s="134">
        <f t="shared" si="11"/>
        <v>20</v>
      </c>
      <c r="E69" s="770">
        <f t="shared" si="11"/>
        <v>2868</v>
      </c>
      <c r="F69" s="134">
        <f t="shared" si="11"/>
        <v>0</v>
      </c>
      <c r="G69" s="770">
        <f t="shared" si="11"/>
        <v>0</v>
      </c>
      <c r="H69" s="134">
        <f t="shared" si="11"/>
        <v>59</v>
      </c>
      <c r="I69" s="770">
        <f t="shared" si="11"/>
        <v>6775.3</v>
      </c>
      <c r="J69" s="134">
        <f t="shared" si="11"/>
        <v>17</v>
      </c>
      <c r="K69" s="770">
        <f t="shared" si="11"/>
        <v>2089.5</v>
      </c>
      <c r="L69" s="134">
        <f t="shared" si="11"/>
        <v>76</v>
      </c>
      <c r="M69" s="770">
        <f t="shared" si="11"/>
        <v>9189.5</v>
      </c>
      <c r="N69" s="134">
        <f t="shared" si="11"/>
        <v>0</v>
      </c>
      <c r="O69" s="770">
        <f t="shared" si="11"/>
        <v>0</v>
      </c>
      <c r="P69" s="134">
        <f t="shared" si="11"/>
        <v>19</v>
      </c>
      <c r="Q69" s="770">
        <f t="shared" si="11"/>
        <v>4097.9</v>
      </c>
      <c r="R69" s="134">
        <f t="shared" si="11"/>
        <v>285</v>
      </c>
      <c r="S69" s="770">
        <f t="shared" si="11"/>
        <v>38238.39999999999</v>
      </c>
      <c r="T69"/>
      <c r="U69"/>
      <c r="V69"/>
      <c r="W69"/>
      <c r="X69"/>
      <c r="Y69"/>
      <c r="Z69"/>
      <c r="AA69"/>
      <c r="AB69"/>
      <c r="AC69"/>
      <c r="AD69"/>
      <c r="AE69"/>
      <c r="AF69"/>
      <c r="AG69"/>
      <c r="AH69"/>
      <c r="AI69"/>
      <c r="AJ69"/>
      <c r="AK69"/>
      <c r="AL69"/>
      <c r="AM69"/>
      <c r="AN69"/>
      <c r="AO69"/>
      <c r="AP69"/>
      <c r="AQ69"/>
      <c r="AR69"/>
      <c r="AS69"/>
      <c r="AT69"/>
      <c r="AU69"/>
      <c r="AV69"/>
      <c r="AW69"/>
    </row>
    <row r="70" spans="1:40" ht="18.75" customHeight="1">
      <c r="A70" s="9" t="s">
        <v>541</v>
      </c>
      <c r="B70"/>
      <c r="C70" s="325"/>
      <c r="D70"/>
      <c r="E70" s="325"/>
      <c r="F70"/>
      <c r="G70" s="325"/>
      <c r="H70" s="65"/>
      <c r="I70" s="330"/>
      <c r="J70"/>
      <c r="K70" s="325"/>
      <c r="L70" s="65"/>
      <c r="M70" s="330"/>
      <c r="N70" s="65"/>
      <c r="O70" s="330"/>
      <c r="P70"/>
      <c r="Q70" s="325"/>
      <c r="R70"/>
      <c r="S70" s="325"/>
      <c r="T70"/>
      <c r="U70"/>
      <c r="V70"/>
      <c r="W70"/>
      <c r="X70"/>
      <c r="Y70"/>
      <c r="Z70"/>
      <c r="AA70"/>
      <c r="AB70"/>
      <c r="AC70"/>
      <c r="AD70"/>
      <c r="AE70"/>
      <c r="AF70"/>
      <c r="AG70"/>
      <c r="AH70"/>
      <c r="AI70"/>
      <c r="AJ70"/>
      <c r="AK70"/>
      <c r="AL70"/>
      <c r="AM70"/>
      <c r="AN70"/>
    </row>
    <row r="71" spans="3:19" s="57" customFormat="1" ht="18" customHeight="1">
      <c r="C71" s="326"/>
      <c r="E71" s="326"/>
      <c r="G71" s="326"/>
      <c r="I71" s="326"/>
      <c r="K71" s="326"/>
      <c r="M71" s="326"/>
      <c r="O71" s="326"/>
      <c r="Q71" s="326"/>
      <c r="S71" s="326"/>
    </row>
    <row r="72" spans="3:19" s="57" customFormat="1" ht="15.75" customHeight="1">
      <c r="C72" s="326"/>
      <c r="E72" s="326"/>
      <c r="G72" s="326"/>
      <c r="I72" s="326"/>
      <c r="K72" s="326"/>
      <c r="M72" s="326"/>
      <c r="O72" s="326"/>
      <c r="Q72" s="326"/>
      <c r="S72" s="326"/>
    </row>
    <row r="73" spans="3:22" s="57" customFormat="1" ht="15.75" customHeight="1">
      <c r="C73" s="326"/>
      <c r="E73" s="326"/>
      <c r="G73" s="326"/>
      <c r="I73" s="326"/>
      <c r="K73" s="326"/>
      <c r="M73" s="326"/>
      <c r="O73" s="326"/>
      <c r="Q73" s="326"/>
      <c r="S73" s="326"/>
      <c r="V73" s="227"/>
    </row>
    <row r="74" spans="3:19" s="57" customFormat="1" ht="15.75" customHeight="1">
      <c r="C74" s="326"/>
      <c r="E74" s="326"/>
      <c r="G74" s="326"/>
      <c r="I74" s="326"/>
      <c r="K74" s="326"/>
      <c r="M74" s="326"/>
      <c r="O74" s="326"/>
      <c r="Q74" s="326"/>
      <c r="S74" s="326"/>
    </row>
    <row r="75" spans="3:13" s="57" customFormat="1" ht="17.25" customHeight="1">
      <c r="C75" s="291"/>
      <c r="E75" s="291"/>
      <c r="G75" s="291"/>
      <c r="I75" s="291"/>
      <c r="K75" s="291"/>
      <c r="M75" s="291"/>
    </row>
    <row r="76" spans="3:13" s="57" customFormat="1" ht="17.25" customHeight="1">
      <c r="C76" s="291"/>
      <c r="E76" s="291"/>
      <c r="G76" s="291"/>
      <c r="I76" s="291"/>
      <c r="K76" s="291"/>
      <c r="M76" s="291"/>
    </row>
    <row r="77" spans="3:26" s="57" customFormat="1" ht="17.25" customHeight="1">
      <c r="C77" s="291"/>
      <c r="E77" s="291"/>
      <c r="G77" s="291"/>
      <c r="I77" s="291"/>
      <c r="K77" s="291"/>
      <c r="M77" s="291"/>
      <c r="R77" s="192"/>
      <c r="S77" s="191"/>
      <c r="T77" s="191"/>
      <c r="U77" s="191"/>
      <c r="V77" s="191"/>
      <c r="W77" s="191"/>
      <c r="X77" s="191"/>
      <c r="Y77" s="191"/>
      <c r="Z77" s="191"/>
    </row>
    <row r="78" spans="3:26" s="57" customFormat="1" ht="17.25" customHeight="1">
      <c r="C78" s="291"/>
      <c r="E78" s="291"/>
      <c r="G78" s="291"/>
      <c r="I78" s="291"/>
      <c r="K78" s="291"/>
      <c r="M78" s="291"/>
      <c r="R78" s="192"/>
      <c r="S78" s="191"/>
      <c r="T78" s="191"/>
      <c r="U78" s="191"/>
      <c r="V78" s="191"/>
      <c r="W78" s="191"/>
      <c r="X78" s="191"/>
      <c r="Y78" s="191"/>
      <c r="Z78" s="191"/>
    </row>
    <row r="79" spans="3:26" s="57" customFormat="1" ht="17.25" customHeight="1">
      <c r="C79" s="291"/>
      <c r="E79" s="291"/>
      <c r="G79" s="291"/>
      <c r="I79" s="291"/>
      <c r="K79" s="291"/>
      <c r="M79" s="291"/>
      <c r="R79" s="192"/>
      <c r="S79" s="191"/>
      <c r="T79" s="191"/>
      <c r="U79" s="191"/>
      <c r="V79" s="191"/>
      <c r="W79" s="191"/>
      <c r="X79" s="191"/>
      <c r="Y79" s="191"/>
      <c r="Z79" s="191"/>
    </row>
    <row r="80" spans="3:26" s="57" customFormat="1" ht="17.25" customHeight="1">
      <c r="C80" s="291"/>
      <c r="E80" s="291"/>
      <c r="G80" s="291"/>
      <c r="I80" s="291"/>
      <c r="K80" s="291"/>
      <c r="M80" s="291"/>
      <c r="R80" s="192"/>
      <c r="S80" s="191"/>
      <c r="T80" s="191"/>
      <c r="U80" s="191"/>
      <c r="V80" s="191"/>
      <c r="W80" s="191"/>
      <c r="X80" s="191"/>
      <c r="Y80" s="191"/>
      <c r="Z80" s="191"/>
    </row>
    <row r="81" spans="3:26" s="57" customFormat="1" ht="17.25" customHeight="1">
      <c r="C81" s="291"/>
      <c r="E81" s="291"/>
      <c r="G81" s="291"/>
      <c r="I81" s="291"/>
      <c r="K81" s="291"/>
      <c r="M81" s="291"/>
      <c r="R81" s="192"/>
      <c r="S81" s="191"/>
      <c r="T81" s="191"/>
      <c r="U81" s="191"/>
      <c r="V81" s="191"/>
      <c r="W81" s="191"/>
      <c r="X81" s="191"/>
      <c r="Y81" s="191"/>
      <c r="Z81" s="191"/>
    </row>
    <row r="82" spans="3:26" s="57" customFormat="1" ht="35.25" customHeight="1">
      <c r="C82" s="291"/>
      <c r="E82" s="291"/>
      <c r="G82" s="291"/>
      <c r="I82" s="291"/>
      <c r="K82" s="291"/>
      <c r="M82" s="291"/>
      <c r="R82" s="192"/>
      <c r="S82" s="191"/>
      <c r="T82" s="191"/>
      <c r="U82" s="191"/>
      <c r="V82" s="191"/>
      <c r="W82" s="191"/>
      <c r="X82" s="191"/>
      <c r="Y82" s="191"/>
      <c r="Z82" s="191"/>
    </row>
    <row r="83" spans="3:26" s="57" customFormat="1" ht="20.25" customHeight="1">
      <c r="C83" s="291"/>
      <c r="E83" s="291"/>
      <c r="G83" s="291"/>
      <c r="I83" s="291"/>
      <c r="K83" s="291"/>
      <c r="M83" s="291"/>
      <c r="R83" s="192"/>
      <c r="S83" s="191"/>
      <c r="T83" s="191"/>
      <c r="U83" s="191"/>
      <c r="V83" s="191"/>
      <c r="W83" s="191"/>
      <c r="X83" s="191"/>
      <c r="Y83" s="191"/>
      <c r="Z83" s="191"/>
    </row>
    <row r="84" spans="3:26" s="57" customFormat="1" ht="11.25">
      <c r="C84" s="291"/>
      <c r="E84" s="291"/>
      <c r="G84" s="291"/>
      <c r="I84" s="291"/>
      <c r="K84" s="291"/>
      <c r="M84" s="291"/>
      <c r="R84" s="192"/>
      <c r="S84" s="191"/>
      <c r="T84" s="191"/>
      <c r="U84" s="191"/>
      <c r="V84" s="191"/>
      <c r="W84" s="191"/>
      <c r="X84" s="191"/>
      <c r="Y84" s="191"/>
      <c r="Z84" s="191"/>
    </row>
    <row r="85" spans="3:26" s="57" customFormat="1" ht="11.25">
      <c r="C85" s="291"/>
      <c r="E85" s="291"/>
      <c r="G85" s="291"/>
      <c r="I85" s="291"/>
      <c r="K85" s="291"/>
      <c r="M85" s="291"/>
      <c r="R85" s="192"/>
      <c r="S85" s="191"/>
      <c r="T85" s="191"/>
      <c r="U85" s="191"/>
      <c r="V85" s="191"/>
      <c r="W85" s="191"/>
      <c r="X85" s="191"/>
      <c r="Y85" s="191"/>
      <c r="Z85" s="191"/>
    </row>
    <row r="86" spans="3:26" s="57" customFormat="1" ht="11.25">
      <c r="C86" s="291"/>
      <c r="E86" s="291"/>
      <c r="G86" s="291"/>
      <c r="I86" s="291"/>
      <c r="K86" s="291"/>
      <c r="M86" s="291"/>
      <c r="R86" s="192"/>
      <c r="S86" s="191"/>
      <c r="T86" s="191"/>
      <c r="U86" s="191"/>
      <c r="V86" s="191"/>
      <c r="W86" s="191"/>
      <c r="X86" s="191"/>
      <c r="Y86" s="191"/>
      <c r="Z86" s="191"/>
    </row>
    <row r="87" spans="3:71" s="65" customFormat="1" ht="12.75">
      <c r="C87" s="292"/>
      <c r="E87" s="292"/>
      <c r="G87" s="292"/>
      <c r="I87" s="292"/>
      <c r="K87" s="292"/>
      <c r="M87" s="292"/>
      <c r="R87" s="192"/>
      <c r="S87" s="191"/>
      <c r="T87" s="191"/>
      <c r="U87" s="191"/>
      <c r="V87" s="191"/>
      <c r="W87" s="191"/>
      <c r="X87" s="191"/>
      <c r="Y87" s="191"/>
      <c r="Z87" s="191"/>
      <c r="AA87" s="57"/>
      <c r="AB87" s="57"/>
      <c r="AC87" s="57"/>
      <c r="AD87" s="57"/>
      <c r="AE87" s="57"/>
      <c r="AF87" s="57"/>
      <c r="AG87" s="57"/>
      <c r="AH87" s="57"/>
      <c r="AI87" s="57"/>
      <c r="AJ87" s="57"/>
      <c r="AK87" s="57"/>
      <c r="AL87" s="57"/>
      <c r="AM87" s="57"/>
      <c r="AN87" s="57"/>
      <c r="AO87"/>
      <c r="AP87"/>
      <c r="AQ87"/>
      <c r="AR87"/>
      <c r="AS87"/>
      <c r="AT87"/>
      <c r="AU87"/>
      <c r="AV87"/>
      <c r="AW87"/>
      <c r="AX87"/>
      <c r="AY87"/>
      <c r="AZ87"/>
      <c r="BA87"/>
      <c r="BB87"/>
      <c r="BC87"/>
      <c r="BD87"/>
      <c r="BE87"/>
      <c r="BF87"/>
      <c r="BG87"/>
      <c r="BH87"/>
      <c r="BI87"/>
      <c r="BJ87"/>
      <c r="BK87"/>
      <c r="BL87"/>
      <c r="BM87"/>
      <c r="BN87"/>
      <c r="BO87"/>
      <c r="BP87"/>
      <c r="BQ87"/>
      <c r="BR87"/>
      <c r="BS87"/>
    </row>
    <row r="88" spans="3:71" s="65" customFormat="1" ht="12.75">
      <c r="C88" s="292"/>
      <c r="E88" s="292"/>
      <c r="G88" s="292"/>
      <c r="I88" s="292"/>
      <c r="K88" s="292"/>
      <c r="M88" s="292"/>
      <c r="R88" s="192"/>
      <c r="S88" s="191"/>
      <c r="T88" s="191"/>
      <c r="U88" s="191"/>
      <c r="V88" s="191"/>
      <c r="W88" s="191"/>
      <c r="X88" s="191"/>
      <c r="Y88" s="191"/>
      <c r="Z88" s="191"/>
      <c r="AA88" s="57"/>
      <c r="AB88" s="57"/>
      <c r="AC88" s="57"/>
      <c r="AD88" s="57"/>
      <c r="AE88" s="57"/>
      <c r="AF88" s="57"/>
      <c r="AG88" s="57"/>
      <c r="AH88" s="57"/>
      <c r="AI88" s="57"/>
      <c r="AJ88" s="57"/>
      <c r="AK88" s="57"/>
      <c r="AL88" s="57"/>
      <c r="AM88" s="57"/>
      <c r="AN88" s="57"/>
      <c r="AO88"/>
      <c r="AP88"/>
      <c r="AQ88"/>
      <c r="AR88"/>
      <c r="AS88"/>
      <c r="AT88"/>
      <c r="AU88"/>
      <c r="AV88"/>
      <c r="AW88"/>
      <c r="AX88"/>
      <c r="AY88"/>
      <c r="AZ88"/>
      <c r="BA88"/>
      <c r="BB88"/>
      <c r="BC88"/>
      <c r="BD88"/>
      <c r="BE88"/>
      <c r="BF88"/>
      <c r="BG88"/>
      <c r="BH88"/>
      <c r="BI88"/>
      <c r="BJ88"/>
      <c r="BK88"/>
      <c r="BL88"/>
      <c r="BM88"/>
      <c r="BN88"/>
      <c r="BO88"/>
      <c r="BP88"/>
      <c r="BQ88"/>
      <c r="BR88"/>
      <c r="BS88"/>
    </row>
    <row r="89" spans="3:71" s="65" customFormat="1" ht="12.75">
      <c r="C89" s="292"/>
      <c r="E89" s="292"/>
      <c r="G89" s="292"/>
      <c r="I89" s="292"/>
      <c r="K89" s="292"/>
      <c r="M89" s="292"/>
      <c r="R89" s="192"/>
      <c r="S89" s="191"/>
      <c r="T89" s="191"/>
      <c r="U89" s="191"/>
      <c r="V89" s="191"/>
      <c r="W89" s="191"/>
      <c r="X89" s="191"/>
      <c r="Y89" s="191"/>
      <c r="Z89" s="191"/>
      <c r="AA89" s="57"/>
      <c r="AB89" s="57"/>
      <c r="AC89" s="57"/>
      <c r="AD89" s="57"/>
      <c r="AE89" s="57"/>
      <c r="AF89" s="57"/>
      <c r="AG89" s="57"/>
      <c r="AH89" s="57"/>
      <c r="AI89" s="57"/>
      <c r="AJ89" s="57"/>
      <c r="AK89" s="57"/>
      <c r="AL89" s="57"/>
      <c r="AM89" s="57"/>
      <c r="AN89" s="57"/>
      <c r="AO89"/>
      <c r="AP89"/>
      <c r="AQ89"/>
      <c r="AR89"/>
      <c r="AS89"/>
      <c r="AT89"/>
      <c r="AU89"/>
      <c r="AV89"/>
      <c r="AW89"/>
      <c r="AX89"/>
      <c r="AY89"/>
      <c r="AZ89"/>
      <c r="BA89"/>
      <c r="BB89"/>
      <c r="BC89"/>
      <c r="BD89"/>
      <c r="BE89"/>
      <c r="BF89"/>
      <c r="BG89"/>
      <c r="BH89"/>
      <c r="BI89"/>
      <c r="BJ89"/>
      <c r="BK89"/>
      <c r="BL89"/>
      <c r="BM89"/>
      <c r="BN89"/>
      <c r="BO89"/>
      <c r="BP89"/>
      <c r="BQ89"/>
      <c r="BR89"/>
      <c r="BS89"/>
    </row>
    <row r="90" spans="3:71" s="65" customFormat="1" ht="12.75">
      <c r="C90" s="292"/>
      <c r="E90" s="292"/>
      <c r="G90" s="292"/>
      <c r="I90" s="292"/>
      <c r="K90" s="292"/>
      <c r="M90" s="292"/>
      <c r="R90" s="192"/>
      <c r="S90" s="191"/>
      <c r="T90" s="191"/>
      <c r="U90" s="191"/>
      <c r="V90" s="191"/>
      <c r="W90" s="191"/>
      <c r="X90" s="191"/>
      <c r="Y90" s="191"/>
      <c r="Z90" s="191"/>
      <c r="AA90" s="57"/>
      <c r="AB90" s="57"/>
      <c r="AC90" s="57"/>
      <c r="AD90" s="57"/>
      <c r="AE90" s="57"/>
      <c r="AF90" s="57"/>
      <c r="AG90" s="57"/>
      <c r="AH90" s="57"/>
      <c r="AI90" s="57"/>
      <c r="AJ90" s="57"/>
      <c r="AK90" s="57"/>
      <c r="AL90" s="57"/>
      <c r="AM90" s="57"/>
      <c r="AN90" s="57"/>
      <c r="AO90"/>
      <c r="AP90"/>
      <c r="AQ90"/>
      <c r="AR90"/>
      <c r="AS90"/>
      <c r="AT90"/>
      <c r="AU90"/>
      <c r="AV90"/>
      <c r="AW90"/>
      <c r="AX90"/>
      <c r="AY90"/>
      <c r="AZ90"/>
      <c r="BA90"/>
      <c r="BB90"/>
      <c r="BC90"/>
      <c r="BD90"/>
      <c r="BE90"/>
      <c r="BF90"/>
      <c r="BG90"/>
      <c r="BH90"/>
      <c r="BI90"/>
      <c r="BJ90"/>
      <c r="BK90"/>
      <c r="BL90"/>
      <c r="BM90"/>
      <c r="BN90"/>
      <c r="BO90"/>
      <c r="BP90"/>
      <c r="BQ90"/>
      <c r="BR90"/>
      <c r="BS90"/>
    </row>
    <row r="91" spans="3:71" s="65" customFormat="1" ht="12.75">
      <c r="C91" s="292"/>
      <c r="E91" s="292"/>
      <c r="G91" s="292"/>
      <c r="I91" s="292"/>
      <c r="K91" s="292"/>
      <c r="M91" s="292"/>
      <c r="R91" s="192"/>
      <c r="S91" s="191"/>
      <c r="T91" s="191"/>
      <c r="U91" s="191"/>
      <c r="V91" s="191"/>
      <c r="W91" s="191"/>
      <c r="X91" s="191"/>
      <c r="Y91" s="191"/>
      <c r="Z91" s="191"/>
      <c r="AA91" s="57"/>
      <c r="AB91" s="57"/>
      <c r="AC91" s="57"/>
      <c r="AD91" s="57"/>
      <c r="AE91" s="57"/>
      <c r="AF91" s="57"/>
      <c r="AG91" s="57"/>
      <c r="AH91" s="57"/>
      <c r="AI91" s="57"/>
      <c r="AJ91" s="57"/>
      <c r="AK91" s="57"/>
      <c r="AL91" s="57"/>
      <c r="AM91" s="57"/>
      <c r="AN91" s="57"/>
      <c r="AO91"/>
      <c r="AP91"/>
      <c r="AQ91"/>
      <c r="AR91"/>
      <c r="AS91"/>
      <c r="AT91"/>
      <c r="AU91"/>
      <c r="AV91"/>
      <c r="AW91"/>
      <c r="AX91"/>
      <c r="AY91"/>
      <c r="AZ91"/>
      <c r="BA91"/>
      <c r="BB91"/>
      <c r="BC91"/>
      <c r="BD91"/>
      <c r="BE91"/>
      <c r="BF91"/>
      <c r="BG91"/>
      <c r="BH91"/>
      <c r="BI91"/>
      <c r="BJ91"/>
      <c r="BK91"/>
      <c r="BL91"/>
      <c r="BM91"/>
      <c r="BN91"/>
      <c r="BO91"/>
      <c r="BP91"/>
      <c r="BQ91"/>
      <c r="BR91"/>
      <c r="BS91"/>
    </row>
    <row r="92" spans="3:71" s="65" customFormat="1" ht="12.75">
      <c r="C92" s="292"/>
      <c r="E92" s="292"/>
      <c r="G92" s="292"/>
      <c r="I92" s="292"/>
      <c r="K92" s="292"/>
      <c r="M92" s="292"/>
      <c r="R92" s="192"/>
      <c r="S92" s="191"/>
      <c r="T92" s="191"/>
      <c r="U92" s="191"/>
      <c r="V92" s="191"/>
      <c r="W92" s="191"/>
      <c r="X92" s="191"/>
      <c r="Y92" s="191"/>
      <c r="Z92" s="191"/>
      <c r="AA92" s="57"/>
      <c r="AB92" s="57"/>
      <c r="AC92" s="57"/>
      <c r="AD92" s="57"/>
      <c r="AE92" s="57"/>
      <c r="AF92" s="57"/>
      <c r="AG92" s="57"/>
      <c r="AH92" s="57"/>
      <c r="AI92" s="57"/>
      <c r="AJ92" s="57"/>
      <c r="AK92" s="57"/>
      <c r="AL92" s="57"/>
      <c r="AM92" s="57"/>
      <c r="AN92" s="57"/>
      <c r="AO92"/>
      <c r="AP92"/>
      <c r="AQ92"/>
      <c r="AR92"/>
      <c r="AS92"/>
      <c r="AT92"/>
      <c r="AU92"/>
      <c r="AV92"/>
      <c r="AW92"/>
      <c r="AX92"/>
      <c r="AY92"/>
      <c r="AZ92"/>
      <c r="BA92"/>
      <c r="BB92"/>
      <c r="BC92"/>
      <c r="BD92"/>
      <c r="BE92"/>
      <c r="BF92"/>
      <c r="BG92"/>
      <c r="BH92"/>
      <c r="BI92"/>
      <c r="BJ92"/>
      <c r="BK92"/>
      <c r="BL92"/>
      <c r="BM92"/>
      <c r="BN92"/>
      <c r="BO92"/>
      <c r="BP92"/>
      <c r="BQ92"/>
      <c r="BR92"/>
      <c r="BS92"/>
    </row>
    <row r="93" spans="3:71" s="65" customFormat="1" ht="12.75">
      <c r="C93" s="292"/>
      <c r="E93" s="292"/>
      <c r="G93" s="292"/>
      <c r="I93" s="292"/>
      <c r="K93" s="292"/>
      <c r="M93" s="292"/>
      <c r="R93" s="192"/>
      <c r="S93" s="191"/>
      <c r="T93" s="191"/>
      <c r="U93" s="191"/>
      <c r="V93" s="191"/>
      <c r="W93" s="191"/>
      <c r="X93" s="191"/>
      <c r="Y93" s="191"/>
      <c r="Z93" s="191"/>
      <c r="AA93" s="57"/>
      <c r="AB93" s="57"/>
      <c r="AC93" s="57"/>
      <c r="AD93" s="57"/>
      <c r="AE93" s="57"/>
      <c r="AF93" s="57"/>
      <c r="AG93" s="57"/>
      <c r="AH93" s="57"/>
      <c r="AI93" s="57"/>
      <c r="AJ93" s="57"/>
      <c r="AK93" s="57"/>
      <c r="AL93" s="57"/>
      <c r="AM93" s="57"/>
      <c r="AN93" s="57"/>
      <c r="AO93"/>
      <c r="AP93"/>
      <c r="AQ93"/>
      <c r="AR93"/>
      <c r="AS93"/>
      <c r="AT93"/>
      <c r="AU93"/>
      <c r="AV93"/>
      <c r="AW93"/>
      <c r="AX93"/>
      <c r="AY93"/>
      <c r="AZ93"/>
      <c r="BA93"/>
      <c r="BB93"/>
      <c r="BC93"/>
      <c r="BD93"/>
      <c r="BE93"/>
      <c r="BF93"/>
      <c r="BG93"/>
      <c r="BH93"/>
      <c r="BI93"/>
      <c r="BJ93"/>
      <c r="BK93"/>
      <c r="BL93"/>
      <c r="BM93"/>
      <c r="BN93"/>
      <c r="BO93"/>
      <c r="BP93"/>
      <c r="BQ93"/>
      <c r="BR93"/>
      <c r="BS93"/>
    </row>
    <row r="94" spans="3:71" s="65" customFormat="1" ht="12.75">
      <c r="C94" s="292"/>
      <c r="E94" s="292"/>
      <c r="G94" s="292"/>
      <c r="I94" s="292"/>
      <c r="K94" s="292"/>
      <c r="M94" s="292"/>
      <c r="R94" s="192"/>
      <c r="S94" s="191"/>
      <c r="T94" s="191"/>
      <c r="U94" s="191"/>
      <c r="V94" s="191"/>
      <c r="W94" s="191"/>
      <c r="X94" s="191"/>
      <c r="Y94" s="191"/>
      <c r="Z94" s="191"/>
      <c r="AA94" s="57"/>
      <c r="AB94" s="57"/>
      <c r="AC94" s="57"/>
      <c r="AD94" s="57"/>
      <c r="AE94" s="57"/>
      <c r="AF94" s="57"/>
      <c r="AG94" s="57"/>
      <c r="AH94" s="57"/>
      <c r="AI94" s="57"/>
      <c r="AJ94" s="57"/>
      <c r="AK94" s="57"/>
      <c r="AL94" s="57"/>
      <c r="AM94" s="57"/>
      <c r="AN94" s="57"/>
      <c r="AO94"/>
      <c r="AP94"/>
      <c r="AQ94"/>
      <c r="AR94"/>
      <c r="AS94"/>
      <c r="AT94"/>
      <c r="AU94"/>
      <c r="AV94"/>
      <c r="AW94"/>
      <c r="AX94"/>
      <c r="AY94"/>
      <c r="AZ94"/>
      <c r="BA94"/>
      <c r="BB94"/>
      <c r="BC94"/>
      <c r="BD94"/>
      <c r="BE94"/>
      <c r="BF94"/>
      <c r="BG94"/>
      <c r="BH94"/>
      <c r="BI94"/>
      <c r="BJ94"/>
      <c r="BK94"/>
      <c r="BL94"/>
      <c r="BM94"/>
      <c r="BN94"/>
      <c r="BO94"/>
      <c r="BP94"/>
      <c r="BQ94"/>
      <c r="BR94"/>
      <c r="BS94"/>
    </row>
    <row r="95" spans="3:71" s="65" customFormat="1" ht="12.75">
      <c r="C95" s="292"/>
      <c r="E95" s="292"/>
      <c r="G95" s="292"/>
      <c r="I95" s="292"/>
      <c r="K95" s="292"/>
      <c r="M95" s="292"/>
      <c r="R95" s="192"/>
      <c r="S95" s="191"/>
      <c r="T95" s="191"/>
      <c r="U95" s="191"/>
      <c r="V95" s="191"/>
      <c r="W95" s="191"/>
      <c r="X95" s="191"/>
      <c r="Y95" s="191"/>
      <c r="Z95" s="191"/>
      <c r="AA95" s="57"/>
      <c r="AB95" s="57"/>
      <c r="AC95" s="57"/>
      <c r="AD95" s="57"/>
      <c r="AE95" s="57"/>
      <c r="AF95" s="57"/>
      <c r="AG95" s="57"/>
      <c r="AH95" s="57"/>
      <c r="AI95" s="57"/>
      <c r="AJ95" s="57"/>
      <c r="AK95" s="57"/>
      <c r="AL95" s="57"/>
      <c r="AM95" s="57"/>
      <c r="AN95" s="57"/>
      <c r="AO95"/>
      <c r="AP95"/>
      <c r="AQ95"/>
      <c r="AR95"/>
      <c r="AS95"/>
      <c r="AT95"/>
      <c r="AU95"/>
      <c r="AV95"/>
      <c r="AW95"/>
      <c r="AX95"/>
      <c r="AY95"/>
      <c r="AZ95"/>
      <c r="BA95"/>
      <c r="BB95"/>
      <c r="BC95"/>
      <c r="BD95"/>
      <c r="BE95"/>
      <c r="BF95"/>
      <c r="BG95"/>
      <c r="BH95"/>
      <c r="BI95"/>
      <c r="BJ95"/>
      <c r="BK95"/>
      <c r="BL95"/>
      <c r="BM95"/>
      <c r="BN95"/>
      <c r="BO95"/>
      <c r="BP95"/>
      <c r="BQ95"/>
      <c r="BR95"/>
      <c r="BS95"/>
    </row>
    <row r="96" spans="3:71" s="65" customFormat="1" ht="12.75">
      <c r="C96" s="292"/>
      <c r="E96" s="292"/>
      <c r="G96" s="292"/>
      <c r="I96" s="292"/>
      <c r="K96" s="292"/>
      <c r="M96" s="292"/>
      <c r="R96" s="192"/>
      <c r="S96" s="191"/>
      <c r="T96" s="191"/>
      <c r="U96" s="191"/>
      <c r="V96" s="191"/>
      <c r="W96" s="191"/>
      <c r="X96" s="191"/>
      <c r="Y96" s="191"/>
      <c r="Z96" s="191"/>
      <c r="AA96" s="57"/>
      <c r="AB96" s="57"/>
      <c r="AC96" s="57"/>
      <c r="AD96" s="57"/>
      <c r="AE96" s="57"/>
      <c r="AF96" s="57"/>
      <c r="AG96" s="57"/>
      <c r="AH96" s="57"/>
      <c r="AI96" s="57"/>
      <c r="AJ96" s="57"/>
      <c r="AK96" s="57"/>
      <c r="AL96" s="57"/>
      <c r="AM96" s="57"/>
      <c r="AN96" s="57"/>
      <c r="AO96"/>
      <c r="AP96"/>
      <c r="AQ96"/>
      <c r="AR96"/>
      <c r="AS96"/>
      <c r="AT96"/>
      <c r="AU96"/>
      <c r="AV96"/>
      <c r="AW96"/>
      <c r="AX96"/>
      <c r="AY96"/>
      <c r="AZ96"/>
      <c r="BA96"/>
      <c r="BB96"/>
      <c r="BC96"/>
      <c r="BD96"/>
      <c r="BE96"/>
      <c r="BF96"/>
      <c r="BG96"/>
      <c r="BH96"/>
      <c r="BI96"/>
      <c r="BJ96"/>
      <c r="BK96"/>
      <c r="BL96"/>
      <c r="BM96"/>
      <c r="BN96"/>
      <c r="BO96"/>
      <c r="BP96"/>
      <c r="BQ96"/>
      <c r="BR96"/>
      <c r="BS96"/>
    </row>
    <row r="97" spans="3:71" s="65" customFormat="1" ht="12.75">
      <c r="C97" s="292"/>
      <c r="E97" s="292"/>
      <c r="G97" s="292"/>
      <c r="I97" s="292"/>
      <c r="K97" s="292"/>
      <c r="M97" s="292"/>
      <c r="R97" s="192"/>
      <c r="S97" s="191"/>
      <c r="T97" s="191"/>
      <c r="U97" s="191"/>
      <c r="V97" s="191"/>
      <c r="W97" s="191"/>
      <c r="X97" s="191"/>
      <c r="Y97" s="191"/>
      <c r="Z97" s="191"/>
      <c r="AA97" s="57"/>
      <c r="AB97" s="57"/>
      <c r="AC97" s="57"/>
      <c r="AD97" s="57"/>
      <c r="AE97" s="57"/>
      <c r="AF97" s="57"/>
      <c r="AG97" s="57"/>
      <c r="AH97" s="57"/>
      <c r="AI97" s="57"/>
      <c r="AJ97" s="57"/>
      <c r="AK97" s="57"/>
      <c r="AL97" s="57"/>
      <c r="AM97" s="57"/>
      <c r="AN97" s="57"/>
      <c r="AO97"/>
      <c r="AP97"/>
      <c r="AQ97"/>
      <c r="AR97"/>
      <c r="AS97"/>
      <c r="AT97"/>
      <c r="AU97"/>
      <c r="AV97"/>
      <c r="AW97"/>
      <c r="AX97"/>
      <c r="AY97"/>
      <c r="AZ97"/>
      <c r="BA97"/>
      <c r="BB97"/>
      <c r="BC97"/>
      <c r="BD97"/>
      <c r="BE97"/>
      <c r="BF97"/>
      <c r="BG97"/>
      <c r="BH97"/>
      <c r="BI97"/>
      <c r="BJ97"/>
      <c r="BK97"/>
      <c r="BL97"/>
      <c r="BM97"/>
      <c r="BN97"/>
      <c r="BO97"/>
      <c r="BP97"/>
      <c r="BQ97"/>
      <c r="BR97"/>
      <c r="BS97"/>
    </row>
    <row r="98" spans="3:71" s="65" customFormat="1" ht="12.75">
      <c r="C98" s="292"/>
      <c r="E98" s="292"/>
      <c r="G98" s="292"/>
      <c r="I98" s="292"/>
      <c r="K98" s="292"/>
      <c r="M98" s="292"/>
      <c r="R98" s="192"/>
      <c r="S98" s="191"/>
      <c r="T98" s="191"/>
      <c r="U98" s="191"/>
      <c r="V98" s="191"/>
      <c r="W98" s="191"/>
      <c r="X98" s="191"/>
      <c r="Y98" s="191"/>
      <c r="Z98" s="191"/>
      <c r="AA98" s="57"/>
      <c r="AB98" s="57"/>
      <c r="AC98" s="57"/>
      <c r="AD98" s="57"/>
      <c r="AE98" s="57"/>
      <c r="AF98" s="57"/>
      <c r="AG98" s="57"/>
      <c r="AH98" s="57"/>
      <c r="AI98" s="57"/>
      <c r="AJ98" s="57"/>
      <c r="AK98" s="57"/>
      <c r="AL98" s="57"/>
      <c r="AM98" s="57"/>
      <c r="AN98" s="57"/>
      <c r="AO98"/>
      <c r="AP98"/>
      <c r="AQ98"/>
      <c r="AR98"/>
      <c r="AS98"/>
      <c r="AT98"/>
      <c r="AU98"/>
      <c r="AV98"/>
      <c r="AW98"/>
      <c r="AX98"/>
      <c r="AY98"/>
      <c r="AZ98"/>
      <c r="BA98"/>
      <c r="BB98"/>
      <c r="BC98"/>
      <c r="BD98"/>
      <c r="BE98"/>
      <c r="BF98"/>
      <c r="BG98"/>
      <c r="BH98"/>
      <c r="BI98"/>
      <c r="BJ98"/>
      <c r="BK98"/>
      <c r="BL98"/>
      <c r="BM98"/>
      <c r="BN98"/>
      <c r="BO98"/>
      <c r="BP98"/>
      <c r="BQ98"/>
      <c r="BR98"/>
      <c r="BS98"/>
    </row>
    <row r="99" spans="3:71" s="65" customFormat="1" ht="12.75">
      <c r="C99" s="292"/>
      <c r="E99" s="292"/>
      <c r="G99" s="292"/>
      <c r="I99" s="292"/>
      <c r="K99" s="292"/>
      <c r="M99" s="292"/>
      <c r="R99" s="192"/>
      <c r="S99" s="191"/>
      <c r="T99" s="191"/>
      <c r="U99" s="191"/>
      <c r="V99" s="191"/>
      <c r="W99" s="191"/>
      <c r="X99" s="191"/>
      <c r="Y99" s="191"/>
      <c r="Z99" s="191"/>
      <c r="AA99" s="57"/>
      <c r="AB99" s="57"/>
      <c r="AC99" s="57"/>
      <c r="AD99" s="57"/>
      <c r="AE99" s="57"/>
      <c r="AF99" s="57"/>
      <c r="AG99" s="57"/>
      <c r="AH99" s="57"/>
      <c r="AI99" s="57"/>
      <c r="AJ99" s="57"/>
      <c r="AK99" s="57"/>
      <c r="AL99" s="57"/>
      <c r="AM99" s="57"/>
      <c r="AN99" s="57"/>
      <c r="AO99"/>
      <c r="AP99"/>
      <c r="AQ99"/>
      <c r="AR99"/>
      <c r="AS99"/>
      <c r="AT99"/>
      <c r="AU99"/>
      <c r="AV99"/>
      <c r="AW99"/>
      <c r="AX99"/>
      <c r="AY99"/>
      <c r="AZ99"/>
      <c r="BA99"/>
      <c r="BB99"/>
      <c r="BC99"/>
      <c r="BD99"/>
      <c r="BE99"/>
      <c r="BF99"/>
      <c r="BG99"/>
      <c r="BH99"/>
      <c r="BI99"/>
      <c r="BJ99"/>
      <c r="BK99"/>
      <c r="BL99"/>
      <c r="BM99"/>
      <c r="BN99"/>
      <c r="BO99"/>
      <c r="BP99"/>
      <c r="BQ99"/>
      <c r="BR99"/>
      <c r="BS99"/>
    </row>
    <row r="100" spans="3:71" s="65" customFormat="1" ht="12.75">
      <c r="C100" s="292"/>
      <c r="E100" s="292"/>
      <c r="G100" s="292"/>
      <c r="I100" s="292"/>
      <c r="K100" s="292"/>
      <c r="M100" s="292"/>
      <c r="R100" s="192"/>
      <c r="S100" s="191"/>
      <c r="T100" s="191"/>
      <c r="U100" s="191"/>
      <c r="V100" s="191"/>
      <c r="W100" s="191"/>
      <c r="X100" s="191"/>
      <c r="Y100" s="191"/>
      <c r="Z100" s="191"/>
      <c r="AA100" s="57"/>
      <c r="AB100" s="57"/>
      <c r="AC100" s="57"/>
      <c r="AD100" s="57"/>
      <c r="AE100" s="57"/>
      <c r="AF100" s="57"/>
      <c r="AG100" s="57"/>
      <c r="AH100" s="57"/>
      <c r="AI100" s="57"/>
      <c r="AJ100" s="57"/>
      <c r="AK100" s="57"/>
      <c r="AL100" s="57"/>
      <c r="AM100" s="57"/>
      <c r="AN100" s="57"/>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row>
    <row r="101" spans="3:71" s="65" customFormat="1" ht="12.75">
      <c r="C101" s="292"/>
      <c r="E101" s="292"/>
      <c r="G101" s="292"/>
      <c r="I101" s="292"/>
      <c r="K101" s="292"/>
      <c r="M101" s="292"/>
      <c r="R101" s="192"/>
      <c r="S101" s="191"/>
      <c r="T101" s="191"/>
      <c r="U101" s="191"/>
      <c r="V101" s="191"/>
      <c r="W101" s="191"/>
      <c r="X101" s="191"/>
      <c r="Y101" s="191"/>
      <c r="Z101" s="191"/>
      <c r="AA101" s="57"/>
      <c r="AB101" s="57"/>
      <c r="AC101" s="57"/>
      <c r="AD101" s="57"/>
      <c r="AE101" s="57"/>
      <c r="AF101" s="57"/>
      <c r="AG101" s="57"/>
      <c r="AH101" s="57"/>
      <c r="AI101" s="57"/>
      <c r="AJ101" s="57"/>
      <c r="AK101" s="57"/>
      <c r="AL101" s="57"/>
      <c r="AM101" s="57"/>
      <c r="AN101" s="57"/>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row>
    <row r="102" spans="3:71" s="65" customFormat="1" ht="12.75">
      <c r="C102" s="292"/>
      <c r="E102" s="292"/>
      <c r="G102" s="292"/>
      <c r="I102" s="292"/>
      <c r="K102" s="292"/>
      <c r="M102" s="292"/>
      <c r="R102" s="192"/>
      <c r="S102" s="191"/>
      <c r="T102" s="191"/>
      <c r="U102" s="191"/>
      <c r="V102" s="191"/>
      <c r="W102" s="191"/>
      <c r="X102" s="191"/>
      <c r="Y102" s="191"/>
      <c r="Z102" s="191"/>
      <c r="AA102" s="57"/>
      <c r="AB102" s="57"/>
      <c r="AC102" s="57"/>
      <c r="AD102" s="57"/>
      <c r="AE102" s="57"/>
      <c r="AF102" s="57"/>
      <c r="AG102" s="57"/>
      <c r="AH102" s="57"/>
      <c r="AI102" s="57"/>
      <c r="AJ102" s="57"/>
      <c r="AK102" s="57"/>
      <c r="AL102" s="57"/>
      <c r="AM102" s="57"/>
      <c r="AN102" s="57"/>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row>
    <row r="103" spans="3:71" s="65" customFormat="1" ht="12.75">
      <c r="C103" s="292"/>
      <c r="E103" s="292"/>
      <c r="G103" s="292"/>
      <c r="I103" s="292"/>
      <c r="K103" s="292"/>
      <c r="M103" s="292"/>
      <c r="R103" s="192"/>
      <c r="S103" s="191"/>
      <c r="T103" s="191"/>
      <c r="U103" s="191"/>
      <c r="V103" s="191"/>
      <c r="W103" s="191"/>
      <c r="X103" s="191"/>
      <c r="Y103" s="191"/>
      <c r="Z103" s="191"/>
      <c r="AA103" s="57"/>
      <c r="AB103" s="57"/>
      <c r="AC103" s="57"/>
      <c r="AD103" s="57"/>
      <c r="AE103" s="57"/>
      <c r="AF103" s="57"/>
      <c r="AG103" s="57"/>
      <c r="AH103" s="57"/>
      <c r="AI103" s="57"/>
      <c r="AJ103" s="57"/>
      <c r="AK103" s="57"/>
      <c r="AL103" s="57"/>
      <c r="AM103" s="57"/>
      <c r="AN103" s="57"/>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row>
    <row r="104" spans="3:71" s="65" customFormat="1" ht="12.75">
      <c r="C104" s="292"/>
      <c r="E104" s="292"/>
      <c r="G104" s="292"/>
      <c r="I104" s="292"/>
      <c r="K104" s="292"/>
      <c r="M104" s="292"/>
      <c r="R104" s="192"/>
      <c r="S104" s="191"/>
      <c r="T104" s="191"/>
      <c r="U104" s="191"/>
      <c r="V104" s="191"/>
      <c r="W104" s="191"/>
      <c r="X104" s="191"/>
      <c r="Y104" s="191"/>
      <c r="Z104" s="191"/>
      <c r="AA104" s="57"/>
      <c r="AB104" s="57"/>
      <c r="AC104" s="57"/>
      <c r="AD104" s="57"/>
      <c r="AE104" s="57"/>
      <c r="AF104" s="57"/>
      <c r="AG104" s="57"/>
      <c r="AH104" s="57"/>
      <c r="AI104" s="57"/>
      <c r="AJ104" s="57"/>
      <c r="AK104" s="57"/>
      <c r="AL104" s="57"/>
      <c r="AM104" s="57"/>
      <c r="AN104" s="57"/>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row>
    <row r="105" spans="3:71" s="65" customFormat="1" ht="12.75">
      <c r="C105" s="292"/>
      <c r="E105" s="292"/>
      <c r="G105" s="292"/>
      <c r="I105" s="292"/>
      <c r="K105" s="292"/>
      <c r="M105" s="292"/>
      <c r="R105" s="192"/>
      <c r="S105" s="191"/>
      <c r="T105" s="191"/>
      <c r="U105" s="191"/>
      <c r="V105" s="191"/>
      <c r="W105" s="191"/>
      <c r="X105" s="191"/>
      <c r="Y105" s="191"/>
      <c r="Z105" s="191"/>
      <c r="AA105" s="57"/>
      <c r="AB105" s="57"/>
      <c r="AC105" s="57"/>
      <c r="AD105" s="57"/>
      <c r="AE105" s="57"/>
      <c r="AF105" s="57"/>
      <c r="AG105" s="57"/>
      <c r="AH105" s="57"/>
      <c r="AI105" s="57"/>
      <c r="AJ105" s="57"/>
      <c r="AK105" s="57"/>
      <c r="AL105" s="57"/>
      <c r="AM105" s="57"/>
      <c r="AN105" s="57"/>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row>
    <row r="106" spans="3:71" s="65" customFormat="1" ht="12.75">
      <c r="C106" s="292"/>
      <c r="E106" s="292"/>
      <c r="G106" s="292"/>
      <c r="I106" s="292"/>
      <c r="K106" s="292"/>
      <c r="M106" s="292"/>
      <c r="R106" s="192"/>
      <c r="S106" s="191"/>
      <c r="T106" s="191"/>
      <c r="U106" s="191"/>
      <c r="V106" s="191"/>
      <c r="W106" s="191"/>
      <c r="X106" s="191"/>
      <c r="Y106" s="191"/>
      <c r="Z106" s="191"/>
      <c r="AA106" s="57"/>
      <c r="AB106" s="57"/>
      <c r="AC106" s="57"/>
      <c r="AD106" s="57"/>
      <c r="AE106" s="57"/>
      <c r="AF106" s="57"/>
      <c r="AG106" s="57"/>
      <c r="AH106" s="57"/>
      <c r="AI106" s="57"/>
      <c r="AJ106" s="57"/>
      <c r="AK106" s="57"/>
      <c r="AL106" s="57"/>
      <c r="AM106" s="57"/>
      <c r="AN106" s="57"/>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row>
    <row r="107" spans="3:71" s="65" customFormat="1" ht="12.75">
      <c r="C107" s="292"/>
      <c r="E107" s="292"/>
      <c r="G107" s="292"/>
      <c r="I107" s="292"/>
      <c r="K107" s="292"/>
      <c r="M107" s="292"/>
      <c r="R107" s="192"/>
      <c r="S107" s="191"/>
      <c r="T107" s="191"/>
      <c r="U107" s="191"/>
      <c r="V107" s="191"/>
      <c r="W107" s="191"/>
      <c r="X107" s="191"/>
      <c r="Y107" s="191"/>
      <c r="Z107" s="191"/>
      <c r="AA107" s="57"/>
      <c r="AB107" s="57"/>
      <c r="AC107" s="57"/>
      <c r="AD107" s="57"/>
      <c r="AE107" s="57"/>
      <c r="AF107" s="57"/>
      <c r="AG107" s="57"/>
      <c r="AH107" s="57"/>
      <c r="AI107" s="57"/>
      <c r="AJ107" s="57"/>
      <c r="AK107" s="57"/>
      <c r="AL107" s="57"/>
      <c r="AM107" s="57"/>
      <c r="AN107" s="5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row>
    <row r="108" spans="3:71" s="65" customFormat="1" ht="12.75">
      <c r="C108" s="292"/>
      <c r="E108" s="292"/>
      <c r="G108" s="292"/>
      <c r="I108" s="292"/>
      <c r="K108" s="292"/>
      <c r="M108" s="292"/>
      <c r="R108" s="192"/>
      <c r="S108" s="191"/>
      <c r="T108" s="191"/>
      <c r="U108" s="191"/>
      <c r="V108" s="191"/>
      <c r="W108" s="191"/>
      <c r="X108" s="191"/>
      <c r="Y108" s="191"/>
      <c r="Z108" s="191"/>
      <c r="AA108" s="57"/>
      <c r="AB108" s="57"/>
      <c r="AC108" s="57"/>
      <c r="AD108" s="57"/>
      <c r="AE108" s="57"/>
      <c r="AF108" s="57"/>
      <c r="AG108" s="57"/>
      <c r="AH108" s="57"/>
      <c r="AI108" s="57"/>
      <c r="AJ108" s="57"/>
      <c r="AK108" s="57"/>
      <c r="AL108" s="57"/>
      <c r="AM108" s="57"/>
      <c r="AN108" s="57"/>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row>
    <row r="109" spans="3:71" s="65" customFormat="1" ht="12.75">
      <c r="C109" s="292"/>
      <c r="E109" s="292"/>
      <c r="G109" s="292"/>
      <c r="I109" s="292"/>
      <c r="K109" s="292"/>
      <c r="M109" s="292"/>
      <c r="R109" s="192"/>
      <c r="S109" s="191"/>
      <c r="T109" s="191"/>
      <c r="U109" s="191"/>
      <c r="V109" s="191"/>
      <c r="W109" s="191"/>
      <c r="X109" s="191"/>
      <c r="Y109" s="191"/>
      <c r="Z109" s="191"/>
      <c r="AA109" s="57"/>
      <c r="AB109" s="57"/>
      <c r="AC109" s="57"/>
      <c r="AD109" s="57"/>
      <c r="AE109" s="57"/>
      <c r="AF109" s="57"/>
      <c r="AG109" s="57"/>
      <c r="AH109" s="57"/>
      <c r="AI109" s="57"/>
      <c r="AJ109" s="57"/>
      <c r="AK109" s="57"/>
      <c r="AL109" s="57"/>
      <c r="AM109" s="57"/>
      <c r="AN109" s="57"/>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row>
    <row r="110" spans="3:71" s="65" customFormat="1" ht="12.75">
      <c r="C110" s="292"/>
      <c r="E110" s="292"/>
      <c r="G110" s="292"/>
      <c r="I110" s="292"/>
      <c r="K110" s="292"/>
      <c r="M110" s="292"/>
      <c r="R110" s="192"/>
      <c r="S110" s="191"/>
      <c r="T110" s="191"/>
      <c r="U110" s="191"/>
      <c r="V110" s="191"/>
      <c r="W110" s="191"/>
      <c r="X110" s="191"/>
      <c r="Y110" s="191"/>
      <c r="Z110" s="191"/>
      <c r="AA110" s="57"/>
      <c r="AB110" s="57"/>
      <c r="AC110" s="57"/>
      <c r="AD110" s="57"/>
      <c r="AE110" s="57"/>
      <c r="AF110" s="57"/>
      <c r="AG110" s="57"/>
      <c r="AH110" s="57"/>
      <c r="AI110" s="57"/>
      <c r="AJ110" s="57"/>
      <c r="AK110" s="57"/>
      <c r="AL110" s="57"/>
      <c r="AM110" s="57"/>
      <c r="AN110" s="57"/>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row>
    <row r="111" spans="3:71" s="65" customFormat="1" ht="12.75">
      <c r="C111" s="292"/>
      <c r="E111" s="292"/>
      <c r="G111" s="292"/>
      <c r="I111" s="292"/>
      <c r="K111" s="292"/>
      <c r="M111" s="292"/>
      <c r="R111" s="192"/>
      <c r="S111" s="191"/>
      <c r="T111" s="191"/>
      <c r="U111" s="191"/>
      <c r="V111" s="191"/>
      <c r="W111" s="191"/>
      <c r="X111" s="191"/>
      <c r="Y111" s="191"/>
      <c r="Z111" s="191"/>
      <c r="AA111" s="57"/>
      <c r="AB111" s="57"/>
      <c r="AC111" s="57"/>
      <c r="AD111" s="57"/>
      <c r="AE111" s="57"/>
      <c r="AF111" s="57"/>
      <c r="AG111" s="57"/>
      <c r="AH111" s="57"/>
      <c r="AI111" s="57"/>
      <c r="AJ111" s="57"/>
      <c r="AK111" s="57"/>
      <c r="AL111" s="57"/>
      <c r="AM111" s="57"/>
      <c r="AN111" s="57"/>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row>
    <row r="112" spans="3:71" s="65" customFormat="1" ht="12.75">
      <c r="C112" s="292"/>
      <c r="E112" s="292"/>
      <c r="G112" s="292"/>
      <c r="I112" s="292"/>
      <c r="K112" s="292"/>
      <c r="M112" s="292"/>
      <c r="R112" s="192"/>
      <c r="S112" s="191"/>
      <c r="T112" s="191"/>
      <c r="U112" s="191"/>
      <c r="V112" s="191"/>
      <c r="W112" s="191"/>
      <c r="X112" s="191"/>
      <c r="Y112" s="191"/>
      <c r="Z112" s="191"/>
      <c r="AA112" s="57"/>
      <c r="AB112" s="57"/>
      <c r="AC112" s="57"/>
      <c r="AD112" s="57"/>
      <c r="AE112" s="57"/>
      <c r="AF112" s="57"/>
      <c r="AG112" s="57"/>
      <c r="AH112" s="57"/>
      <c r="AI112" s="57"/>
      <c r="AJ112" s="57"/>
      <c r="AK112" s="57"/>
      <c r="AL112" s="57"/>
      <c r="AM112" s="57"/>
      <c r="AN112" s="57"/>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row>
    <row r="113" spans="3:71" s="65" customFormat="1" ht="12.75">
      <c r="C113" s="292"/>
      <c r="E113" s="292"/>
      <c r="G113" s="292"/>
      <c r="I113" s="292"/>
      <c r="K113" s="292"/>
      <c r="M113" s="292"/>
      <c r="R113" s="192"/>
      <c r="S113" s="191"/>
      <c r="T113" s="191"/>
      <c r="U113" s="191"/>
      <c r="V113" s="191"/>
      <c r="W113" s="191"/>
      <c r="X113" s="191"/>
      <c r="Y113" s="191"/>
      <c r="Z113" s="191"/>
      <c r="AA113" s="57"/>
      <c r="AB113" s="57"/>
      <c r="AC113" s="57"/>
      <c r="AD113" s="57"/>
      <c r="AE113" s="57"/>
      <c r="AF113" s="57"/>
      <c r="AG113" s="57"/>
      <c r="AH113" s="57"/>
      <c r="AI113" s="57"/>
      <c r="AJ113" s="57"/>
      <c r="AK113" s="57"/>
      <c r="AL113" s="57"/>
      <c r="AM113" s="57"/>
      <c r="AN113" s="57"/>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row>
    <row r="114" spans="3:71" s="65" customFormat="1" ht="12.75">
      <c r="C114" s="292"/>
      <c r="E114" s="292"/>
      <c r="G114" s="292"/>
      <c r="I114" s="292"/>
      <c r="K114" s="292"/>
      <c r="M114" s="292"/>
      <c r="R114" s="192"/>
      <c r="S114" s="191"/>
      <c r="T114" s="191"/>
      <c r="U114" s="191"/>
      <c r="V114" s="191"/>
      <c r="W114" s="191"/>
      <c r="X114" s="191"/>
      <c r="Y114" s="191"/>
      <c r="Z114" s="191"/>
      <c r="AA114" s="57"/>
      <c r="AB114" s="57"/>
      <c r="AC114" s="57"/>
      <c r="AD114" s="57"/>
      <c r="AE114" s="57"/>
      <c r="AF114" s="57"/>
      <c r="AG114" s="57"/>
      <c r="AH114" s="57"/>
      <c r="AI114" s="57"/>
      <c r="AJ114" s="57"/>
      <c r="AK114" s="57"/>
      <c r="AL114" s="57"/>
      <c r="AM114" s="57"/>
      <c r="AN114" s="57"/>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row>
    <row r="115" spans="3:71" s="65" customFormat="1" ht="12.75">
      <c r="C115" s="292"/>
      <c r="E115" s="292"/>
      <c r="G115" s="292"/>
      <c r="I115" s="292"/>
      <c r="K115" s="292"/>
      <c r="M115" s="292"/>
      <c r="R115" s="192"/>
      <c r="S115" s="191"/>
      <c r="T115" s="191"/>
      <c r="U115" s="191"/>
      <c r="V115" s="191"/>
      <c r="W115" s="191"/>
      <c r="X115" s="191"/>
      <c r="Y115" s="191"/>
      <c r="Z115" s="191"/>
      <c r="AA115" s="57"/>
      <c r="AB115" s="57"/>
      <c r="AC115" s="57"/>
      <c r="AD115" s="57"/>
      <c r="AE115" s="57"/>
      <c r="AF115" s="57"/>
      <c r="AG115" s="57"/>
      <c r="AH115" s="57"/>
      <c r="AI115" s="57"/>
      <c r="AJ115" s="57"/>
      <c r="AK115" s="57"/>
      <c r="AL115" s="57"/>
      <c r="AM115" s="57"/>
      <c r="AN115" s="57"/>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row>
    <row r="116" spans="3:71" s="65" customFormat="1" ht="12.75">
      <c r="C116" s="292"/>
      <c r="E116" s="292"/>
      <c r="G116" s="292"/>
      <c r="I116" s="292"/>
      <c r="K116" s="292"/>
      <c r="M116" s="292"/>
      <c r="R116" s="192"/>
      <c r="S116" s="191"/>
      <c r="T116" s="191"/>
      <c r="U116" s="191"/>
      <c r="V116" s="191"/>
      <c r="W116" s="191"/>
      <c r="X116" s="191"/>
      <c r="Y116" s="191"/>
      <c r="Z116" s="191"/>
      <c r="AA116" s="57"/>
      <c r="AB116" s="57"/>
      <c r="AC116" s="57"/>
      <c r="AD116" s="57"/>
      <c r="AE116" s="57"/>
      <c r="AF116" s="57"/>
      <c r="AG116" s="57"/>
      <c r="AH116" s="57"/>
      <c r="AI116" s="57"/>
      <c r="AJ116" s="57"/>
      <c r="AK116" s="57"/>
      <c r="AL116" s="57"/>
      <c r="AM116" s="57"/>
      <c r="AN116" s="57"/>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row>
    <row r="117" spans="3:71" s="65" customFormat="1" ht="12.75">
      <c r="C117" s="292"/>
      <c r="E117" s="292"/>
      <c r="G117" s="292"/>
      <c r="I117" s="292"/>
      <c r="K117" s="292"/>
      <c r="M117" s="292"/>
      <c r="R117" s="192"/>
      <c r="S117" s="191"/>
      <c r="T117" s="191"/>
      <c r="U117" s="191"/>
      <c r="V117" s="191"/>
      <c r="W117" s="191"/>
      <c r="X117" s="191"/>
      <c r="Y117" s="191"/>
      <c r="Z117" s="191"/>
      <c r="AA117" s="57"/>
      <c r="AB117" s="57"/>
      <c r="AC117" s="57"/>
      <c r="AD117" s="57"/>
      <c r="AE117" s="57"/>
      <c r="AF117" s="57"/>
      <c r="AG117" s="57"/>
      <c r="AH117" s="57"/>
      <c r="AI117" s="57"/>
      <c r="AJ117" s="57"/>
      <c r="AK117" s="57"/>
      <c r="AL117" s="57"/>
      <c r="AM117" s="57"/>
      <c r="AN117" s="5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row>
    <row r="118" spans="3:71" s="65" customFormat="1" ht="12.75">
      <c r="C118" s="292"/>
      <c r="E118" s="292"/>
      <c r="G118" s="292"/>
      <c r="I118" s="292"/>
      <c r="K118" s="292"/>
      <c r="M118" s="292"/>
      <c r="R118" s="192"/>
      <c r="S118" s="191"/>
      <c r="T118" s="191"/>
      <c r="U118" s="191"/>
      <c r="V118" s="191"/>
      <c r="W118" s="191"/>
      <c r="X118" s="191"/>
      <c r="Y118" s="191"/>
      <c r="Z118" s="191"/>
      <c r="AA118" s="57"/>
      <c r="AB118" s="57"/>
      <c r="AC118" s="57"/>
      <c r="AD118" s="57"/>
      <c r="AE118" s="57"/>
      <c r="AF118" s="57"/>
      <c r="AG118" s="57"/>
      <c r="AH118" s="57"/>
      <c r="AI118" s="57"/>
      <c r="AJ118" s="57"/>
      <c r="AK118" s="57"/>
      <c r="AL118" s="57"/>
      <c r="AM118" s="57"/>
      <c r="AN118" s="57"/>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row>
    <row r="119" spans="3:71" s="65" customFormat="1" ht="12.75">
      <c r="C119" s="292"/>
      <c r="E119" s="292"/>
      <c r="G119" s="292"/>
      <c r="I119" s="292"/>
      <c r="K119" s="292"/>
      <c r="M119" s="292"/>
      <c r="R119" s="192"/>
      <c r="S119" s="191"/>
      <c r="T119" s="191"/>
      <c r="U119" s="191"/>
      <c r="V119" s="191"/>
      <c r="W119" s="191"/>
      <c r="X119" s="191"/>
      <c r="Y119" s="191"/>
      <c r="Z119" s="191"/>
      <c r="AA119" s="57"/>
      <c r="AB119" s="57"/>
      <c r="AC119" s="57"/>
      <c r="AD119" s="57"/>
      <c r="AE119" s="57"/>
      <c r="AF119" s="57"/>
      <c r="AG119" s="57"/>
      <c r="AH119" s="57"/>
      <c r="AI119" s="57"/>
      <c r="AJ119" s="57"/>
      <c r="AK119" s="57"/>
      <c r="AL119" s="57"/>
      <c r="AM119" s="57"/>
      <c r="AN119" s="57"/>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row>
    <row r="120" spans="3:71" s="65" customFormat="1" ht="12.75">
      <c r="C120" s="292"/>
      <c r="E120" s="292"/>
      <c r="G120" s="292"/>
      <c r="I120" s="292"/>
      <c r="K120" s="292"/>
      <c r="M120" s="292"/>
      <c r="R120" s="192"/>
      <c r="S120" s="191"/>
      <c r="T120" s="191"/>
      <c r="U120" s="191"/>
      <c r="V120" s="191"/>
      <c r="W120" s="191"/>
      <c r="X120" s="191"/>
      <c r="Y120" s="191"/>
      <c r="Z120" s="191"/>
      <c r="AA120" s="57"/>
      <c r="AB120" s="57"/>
      <c r="AC120" s="57"/>
      <c r="AD120" s="57"/>
      <c r="AE120" s="57"/>
      <c r="AF120" s="57"/>
      <c r="AG120" s="57"/>
      <c r="AH120" s="57"/>
      <c r="AI120" s="57"/>
      <c r="AJ120" s="57"/>
      <c r="AK120" s="57"/>
      <c r="AL120" s="57"/>
      <c r="AM120" s="57"/>
      <c r="AN120" s="57"/>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row>
    <row r="121" spans="3:71" s="65" customFormat="1" ht="12.75">
      <c r="C121" s="292"/>
      <c r="E121" s="292"/>
      <c r="G121" s="292"/>
      <c r="I121" s="292"/>
      <c r="K121" s="292"/>
      <c r="M121" s="292"/>
      <c r="R121" s="192"/>
      <c r="S121" s="191"/>
      <c r="T121" s="191"/>
      <c r="U121" s="191"/>
      <c r="V121" s="191"/>
      <c r="W121" s="191"/>
      <c r="X121" s="191"/>
      <c r="Y121" s="191"/>
      <c r="Z121" s="191"/>
      <c r="AA121" s="57"/>
      <c r="AB121" s="57"/>
      <c r="AC121" s="57"/>
      <c r="AD121" s="57"/>
      <c r="AE121" s="57"/>
      <c r="AF121" s="57"/>
      <c r="AG121" s="57"/>
      <c r="AH121" s="57"/>
      <c r="AI121" s="57"/>
      <c r="AJ121" s="57"/>
      <c r="AK121" s="57"/>
      <c r="AL121" s="57"/>
      <c r="AM121" s="57"/>
      <c r="AN121" s="57"/>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row>
    <row r="122" spans="3:71" s="65" customFormat="1" ht="12.75">
      <c r="C122" s="292"/>
      <c r="E122" s="292"/>
      <c r="G122" s="292"/>
      <c r="I122" s="292"/>
      <c r="K122" s="292"/>
      <c r="M122" s="292"/>
      <c r="R122" s="192"/>
      <c r="S122" s="191"/>
      <c r="T122" s="191"/>
      <c r="U122" s="191"/>
      <c r="V122" s="191"/>
      <c r="W122" s="191"/>
      <c r="X122" s="191"/>
      <c r="Y122" s="191"/>
      <c r="Z122" s="191"/>
      <c r="AA122" s="57"/>
      <c r="AB122" s="57"/>
      <c r="AC122" s="57"/>
      <c r="AD122" s="57"/>
      <c r="AE122" s="57"/>
      <c r="AF122" s="57"/>
      <c r="AG122" s="57"/>
      <c r="AH122" s="57"/>
      <c r="AI122" s="57"/>
      <c r="AJ122" s="57"/>
      <c r="AK122" s="57"/>
      <c r="AL122" s="57"/>
      <c r="AM122" s="57"/>
      <c r="AN122" s="57"/>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row>
    <row r="123" spans="3:71" s="65" customFormat="1" ht="12.75">
      <c r="C123" s="292"/>
      <c r="E123" s="292"/>
      <c r="G123" s="292"/>
      <c r="I123" s="292"/>
      <c r="K123" s="292"/>
      <c r="M123" s="292"/>
      <c r="R123" s="192"/>
      <c r="S123" s="191"/>
      <c r="T123" s="191"/>
      <c r="U123" s="191"/>
      <c r="V123" s="191"/>
      <c r="W123" s="191"/>
      <c r="X123" s="191"/>
      <c r="Y123" s="191"/>
      <c r="Z123" s="191"/>
      <c r="AA123" s="57"/>
      <c r="AB123" s="57"/>
      <c r="AC123" s="57"/>
      <c r="AD123" s="57"/>
      <c r="AE123" s="57"/>
      <c r="AF123" s="57"/>
      <c r="AG123" s="57"/>
      <c r="AH123" s="57"/>
      <c r="AI123" s="57"/>
      <c r="AJ123" s="57"/>
      <c r="AK123" s="57"/>
      <c r="AL123" s="57"/>
      <c r="AM123" s="57"/>
      <c r="AN123" s="57"/>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row>
    <row r="124" spans="3:71" s="65" customFormat="1" ht="12.75">
      <c r="C124" s="292"/>
      <c r="E124" s="292"/>
      <c r="G124" s="292"/>
      <c r="I124" s="292"/>
      <c r="K124" s="292"/>
      <c r="M124" s="292"/>
      <c r="R124" s="192"/>
      <c r="S124" s="191"/>
      <c r="T124" s="191"/>
      <c r="U124" s="191"/>
      <c r="V124" s="191"/>
      <c r="W124" s="191"/>
      <c r="X124" s="191"/>
      <c r="Y124" s="191"/>
      <c r="Z124" s="191"/>
      <c r="AA124" s="57"/>
      <c r="AB124" s="57"/>
      <c r="AC124" s="57"/>
      <c r="AD124" s="57"/>
      <c r="AE124" s="57"/>
      <c r="AF124" s="57"/>
      <c r="AG124" s="57"/>
      <c r="AH124" s="57"/>
      <c r="AI124" s="57"/>
      <c r="AJ124" s="57"/>
      <c r="AK124" s="57"/>
      <c r="AL124" s="57"/>
      <c r="AM124" s="57"/>
      <c r="AN124" s="57"/>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row>
    <row r="125" spans="3:71" s="65" customFormat="1" ht="12.75">
      <c r="C125" s="292"/>
      <c r="E125" s="292"/>
      <c r="G125" s="292"/>
      <c r="I125" s="292"/>
      <c r="K125" s="292"/>
      <c r="M125" s="292"/>
      <c r="R125" s="192"/>
      <c r="S125" s="191"/>
      <c r="T125" s="191"/>
      <c r="U125" s="191"/>
      <c r="V125" s="191"/>
      <c r="W125" s="191"/>
      <c r="X125" s="191"/>
      <c r="Y125" s="191"/>
      <c r="Z125" s="191"/>
      <c r="AA125" s="57"/>
      <c r="AB125" s="57"/>
      <c r="AC125" s="57"/>
      <c r="AD125" s="57"/>
      <c r="AE125" s="57"/>
      <c r="AF125" s="57"/>
      <c r="AG125" s="57"/>
      <c r="AH125" s="57"/>
      <c r="AI125" s="57"/>
      <c r="AJ125" s="57"/>
      <c r="AK125" s="57"/>
      <c r="AL125" s="57"/>
      <c r="AM125" s="57"/>
      <c r="AN125" s="57"/>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row>
    <row r="126" spans="3:71" s="65" customFormat="1" ht="12.75">
      <c r="C126" s="292"/>
      <c r="E126" s="292"/>
      <c r="G126" s="292"/>
      <c r="I126" s="292"/>
      <c r="K126" s="292"/>
      <c r="M126" s="292"/>
      <c r="R126" s="192"/>
      <c r="S126" s="191"/>
      <c r="T126" s="191"/>
      <c r="U126" s="191"/>
      <c r="V126" s="191"/>
      <c r="W126" s="191"/>
      <c r="X126" s="191"/>
      <c r="Y126" s="191"/>
      <c r="Z126" s="191"/>
      <c r="AA126" s="57"/>
      <c r="AB126" s="57"/>
      <c r="AC126" s="57"/>
      <c r="AD126" s="57"/>
      <c r="AE126" s="57"/>
      <c r="AF126" s="57"/>
      <c r="AG126" s="57"/>
      <c r="AH126" s="57"/>
      <c r="AI126" s="57"/>
      <c r="AJ126" s="57"/>
      <c r="AK126" s="57"/>
      <c r="AL126" s="57"/>
      <c r="AM126" s="57"/>
      <c r="AN126" s="57"/>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row>
    <row r="127" spans="3:71" s="65" customFormat="1" ht="12.75">
      <c r="C127" s="292"/>
      <c r="E127" s="292"/>
      <c r="G127" s="292"/>
      <c r="I127" s="292"/>
      <c r="K127" s="292"/>
      <c r="M127" s="292"/>
      <c r="R127" s="192"/>
      <c r="S127" s="191"/>
      <c r="T127" s="191"/>
      <c r="U127" s="191"/>
      <c r="V127" s="191"/>
      <c r="W127" s="191"/>
      <c r="X127" s="191"/>
      <c r="Y127" s="191"/>
      <c r="Z127" s="191"/>
      <c r="AA127" s="57"/>
      <c r="AB127" s="57"/>
      <c r="AC127" s="57"/>
      <c r="AD127" s="57"/>
      <c r="AE127" s="57"/>
      <c r="AF127" s="57"/>
      <c r="AG127" s="57"/>
      <c r="AH127" s="57"/>
      <c r="AI127" s="57"/>
      <c r="AJ127" s="57"/>
      <c r="AK127" s="57"/>
      <c r="AL127" s="57"/>
      <c r="AM127" s="57"/>
      <c r="AN127" s="5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row>
    <row r="128" spans="3:71" s="65" customFormat="1" ht="12.75">
      <c r="C128" s="292"/>
      <c r="E128" s="292"/>
      <c r="G128" s="292"/>
      <c r="I128" s="292"/>
      <c r="K128" s="292"/>
      <c r="M128" s="292"/>
      <c r="R128" s="192"/>
      <c r="S128" s="191"/>
      <c r="T128" s="191"/>
      <c r="U128" s="191"/>
      <c r="V128" s="191"/>
      <c r="W128" s="191"/>
      <c r="X128" s="191"/>
      <c r="Y128" s="191"/>
      <c r="Z128" s="191"/>
      <c r="AA128" s="57"/>
      <c r="AB128" s="57"/>
      <c r="AC128" s="57"/>
      <c r="AD128" s="57"/>
      <c r="AE128" s="57"/>
      <c r="AF128" s="57"/>
      <c r="AG128" s="57"/>
      <c r="AH128" s="57"/>
      <c r="AI128" s="57"/>
      <c r="AJ128" s="57"/>
      <c r="AK128" s="57"/>
      <c r="AL128" s="57"/>
      <c r="AM128" s="57"/>
      <c r="AN128" s="57"/>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row>
    <row r="129" spans="3:71" s="65" customFormat="1" ht="12.75">
      <c r="C129" s="292"/>
      <c r="E129" s="292"/>
      <c r="G129" s="292"/>
      <c r="I129" s="292"/>
      <c r="K129" s="292"/>
      <c r="M129" s="292"/>
      <c r="R129" s="192"/>
      <c r="S129" s="191"/>
      <c r="T129" s="191"/>
      <c r="U129" s="191"/>
      <c r="V129" s="191"/>
      <c r="W129" s="191"/>
      <c r="X129" s="191"/>
      <c r="Y129" s="191"/>
      <c r="Z129" s="191"/>
      <c r="AA129" s="57"/>
      <c r="AB129" s="57"/>
      <c r="AC129" s="57"/>
      <c r="AD129" s="57"/>
      <c r="AE129" s="57"/>
      <c r="AF129" s="57"/>
      <c r="AG129" s="57"/>
      <c r="AH129" s="57"/>
      <c r="AI129" s="57"/>
      <c r="AJ129" s="57"/>
      <c r="AK129" s="57"/>
      <c r="AL129" s="57"/>
      <c r="AM129" s="57"/>
      <c r="AN129" s="57"/>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row>
    <row r="130" spans="3:71" s="65" customFormat="1" ht="12.75">
      <c r="C130" s="292"/>
      <c r="E130" s="292"/>
      <c r="G130" s="292"/>
      <c r="I130" s="292"/>
      <c r="K130" s="292"/>
      <c r="M130" s="292"/>
      <c r="R130" s="192"/>
      <c r="S130" s="191"/>
      <c r="T130" s="191"/>
      <c r="U130" s="191"/>
      <c r="V130" s="191"/>
      <c r="W130" s="191"/>
      <c r="X130" s="191"/>
      <c r="Y130" s="191"/>
      <c r="Z130" s="191"/>
      <c r="AA130" s="57"/>
      <c r="AB130" s="57"/>
      <c r="AC130" s="57"/>
      <c r="AD130" s="57"/>
      <c r="AE130" s="57"/>
      <c r="AF130" s="57"/>
      <c r="AG130" s="57"/>
      <c r="AH130" s="57"/>
      <c r="AI130" s="57"/>
      <c r="AJ130" s="57"/>
      <c r="AK130" s="57"/>
      <c r="AL130" s="57"/>
      <c r="AM130" s="57"/>
      <c r="AN130" s="57"/>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row>
    <row r="131" spans="3:71" s="65" customFormat="1" ht="12.75">
      <c r="C131" s="292"/>
      <c r="E131" s="292"/>
      <c r="G131" s="292"/>
      <c r="I131" s="292"/>
      <c r="K131" s="292"/>
      <c r="M131" s="292"/>
      <c r="R131" s="192"/>
      <c r="S131" s="191"/>
      <c r="T131" s="191"/>
      <c r="U131" s="191"/>
      <c r="V131" s="191"/>
      <c r="W131" s="191"/>
      <c r="X131" s="191"/>
      <c r="Y131" s="191"/>
      <c r="Z131" s="191"/>
      <c r="AA131" s="57"/>
      <c r="AB131" s="57"/>
      <c r="AC131" s="57"/>
      <c r="AD131" s="57"/>
      <c r="AE131" s="57"/>
      <c r="AF131" s="57"/>
      <c r="AG131" s="57"/>
      <c r="AH131" s="57"/>
      <c r="AI131" s="57"/>
      <c r="AJ131" s="57"/>
      <c r="AK131" s="57"/>
      <c r="AL131" s="57"/>
      <c r="AM131" s="57"/>
      <c r="AN131" s="57"/>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row>
    <row r="132" spans="3:71" s="65" customFormat="1" ht="12.75">
      <c r="C132" s="292"/>
      <c r="E132" s="292"/>
      <c r="G132" s="292"/>
      <c r="I132" s="292"/>
      <c r="K132" s="292"/>
      <c r="M132" s="292"/>
      <c r="R132" s="192"/>
      <c r="S132" s="191"/>
      <c r="T132" s="191"/>
      <c r="U132" s="191"/>
      <c r="V132" s="191"/>
      <c r="W132" s="191"/>
      <c r="X132" s="191"/>
      <c r="Y132" s="191"/>
      <c r="Z132" s="191"/>
      <c r="AA132" s="57"/>
      <c r="AB132" s="57"/>
      <c r="AC132" s="57"/>
      <c r="AD132" s="57"/>
      <c r="AE132" s="57"/>
      <c r="AF132" s="57"/>
      <c r="AG132" s="57"/>
      <c r="AH132" s="57"/>
      <c r="AI132" s="57"/>
      <c r="AJ132" s="57"/>
      <c r="AK132" s="57"/>
      <c r="AL132" s="57"/>
      <c r="AM132" s="57"/>
      <c r="AN132" s="57"/>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row>
    <row r="133" spans="3:71" s="65" customFormat="1" ht="12.75">
      <c r="C133" s="292"/>
      <c r="E133" s="292"/>
      <c r="G133" s="292"/>
      <c r="I133" s="292"/>
      <c r="K133" s="292"/>
      <c r="M133" s="292"/>
      <c r="R133" s="192"/>
      <c r="S133" s="191"/>
      <c r="T133" s="191"/>
      <c r="U133" s="191"/>
      <c r="V133" s="191"/>
      <c r="W133" s="191"/>
      <c r="X133" s="191"/>
      <c r="Y133" s="191"/>
      <c r="Z133" s="191"/>
      <c r="AA133" s="57"/>
      <c r="AB133" s="57"/>
      <c r="AC133" s="57"/>
      <c r="AD133" s="57"/>
      <c r="AE133" s="57"/>
      <c r="AF133" s="57"/>
      <c r="AG133" s="57"/>
      <c r="AH133" s="57"/>
      <c r="AI133" s="57"/>
      <c r="AJ133" s="57"/>
      <c r="AK133" s="57"/>
      <c r="AL133" s="57"/>
      <c r="AM133" s="57"/>
      <c r="AN133" s="57"/>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row>
    <row r="134" spans="3:71" s="65" customFormat="1" ht="12.75">
      <c r="C134" s="292"/>
      <c r="E134" s="292"/>
      <c r="G134" s="292"/>
      <c r="I134" s="292"/>
      <c r="K134" s="292"/>
      <c r="M134" s="292"/>
      <c r="R134" s="192"/>
      <c r="S134" s="191"/>
      <c r="T134" s="191"/>
      <c r="U134" s="191"/>
      <c r="V134" s="191"/>
      <c r="W134" s="191"/>
      <c r="X134" s="191"/>
      <c r="Y134" s="191"/>
      <c r="Z134" s="191"/>
      <c r="AA134" s="57"/>
      <c r="AB134" s="57"/>
      <c r="AC134" s="57"/>
      <c r="AD134" s="57"/>
      <c r="AE134" s="57"/>
      <c r="AF134" s="57"/>
      <c r="AG134" s="57"/>
      <c r="AH134" s="57"/>
      <c r="AI134" s="57"/>
      <c r="AJ134" s="57"/>
      <c r="AK134" s="57"/>
      <c r="AL134" s="57"/>
      <c r="AM134" s="57"/>
      <c r="AN134" s="57"/>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row>
    <row r="135" spans="3:71" s="65" customFormat="1" ht="12.75">
      <c r="C135" s="292"/>
      <c r="E135" s="292"/>
      <c r="G135" s="292"/>
      <c r="I135" s="292"/>
      <c r="K135" s="292"/>
      <c r="M135" s="292"/>
      <c r="R135" s="192"/>
      <c r="S135" s="191"/>
      <c r="T135" s="191"/>
      <c r="U135" s="191"/>
      <c r="V135" s="191"/>
      <c r="W135" s="191"/>
      <c r="X135" s="191"/>
      <c r="Y135" s="191"/>
      <c r="Z135" s="191"/>
      <c r="AA135" s="57"/>
      <c r="AB135" s="57"/>
      <c r="AC135" s="57"/>
      <c r="AD135" s="57"/>
      <c r="AE135" s="57"/>
      <c r="AF135" s="57"/>
      <c r="AG135" s="57"/>
      <c r="AH135" s="57"/>
      <c r="AI135" s="57"/>
      <c r="AJ135" s="57"/>
      <c r="AK135" s="57"/>
      <c r="AL135" s="57"/>
      <c r="AM135" s="57"/>
      <c r="AN135" s="57"/>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row>
    <row r="136" spans="1:71" s="65" customFormat="1" ht="21.75">
      <c r="A136" s="114"/>
      <c r="B136" s="114"/>
      <c r="C136" s="293"/>
      <c r="D136" s="114"/>
      <c r="E136" s="293"/>
      <c r="F136" s="114"/>
      <c r="G136" s="293"/>
      <c r="H136" s="114"/>
      <c r="I136" s="293"/>
      <c r="J136" s="114"/>
      <c r="K136" s="293"/>
      <c r="L136" s="114"/>
      <c r="M136" s="293"/>
      <c r="N136" s="114"/>
      <c r="O136" s="114"/>
      <c r="P136" s="114"/>
      <c r="Q136" s="114"/>
      <c r="R136" s="192"/>
      <c r="S136" s="191"/>
      <c r="T136" s="191"/>
      <c r="U136" s="191"/>
      <c r="V136" s="191"/>
      <c r="W136" s="191"/>
      <c r="X136" s="191"/>
      <c r="Y136" s="191"/>
      <c r="Z136" s="191"/>
      <c r="AA136" s="57"/>
      <c r="AB136" s="57"/>
      <c r="AC136" s="57"/>
      <c r="AD136" s="57"/>
      <c r="AE136" s="57"/>
      <c r="AF136" s="57"/>
      <c r="AG136" s="57"/>
      <c r="AH136" s="57"/>
      <c r="AI136" s="57"/>
      <c r="AJ136" s="57"/>
      <c r="AK136" s="57"/>
      <c r="AL136" s="57"/>
      <c r="AM136" s="57"/>
      <c r="AN136" s="57"/>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row>
    <row r="137" spans="1:71" s="65" customFormat="1" ht="21.75">
      <c r="A137" s="114"/>
      <c r="B137" s="114"/>
      <c r="C137" s="293"/>
      <c r="D137" s="114"/>
      <c r="E137" s="293"/>
      <c r="F137" s="114"/>
      <c r="G137" s="293"/>
      <c r="H137" s="114"/>
      <c r="I137" s="293"/>
      <c r="J137" s="114"/>
      <c r="K137" s="293"/>
      <c r="L137" s="114"/>
      <c r="M137" s="293"/>
      <c r="N137" s="114"/>
      <c r="O137" s="114"/>
      <c r="P137" s="114"/>
      <c r="Q137" s="114"/>
      <c r="R137" s="192"/>
      <c r="S137" s="191"/>
      <c r="T137" s="191"/>
      <c r="U137" s="191"/>
      <c r="V137" s="191"/>
      <c r="W137" s="191"/>
      <c r="X137" s="191"/>
      <c r="Y137" s="191"/>
      <c r="Z137" s="191"/>
      <c r="AA137" s="57"/>
      <c r="AB137" s="57"/>
      <c r="AC137" s="57"/>
      <c r="AD137" s="57"/>
      <c r="AE137" s="57"/>
      <c r="AF137" s="57"/>
      <c r="AG137" s="57"/>
      <c r="AH137" s="57"/>
      <c r="AI137" s="57"/>
      <c r="AJ137" s="57"/>
      <c r="AK137" s="57"/>
      <c r="AL137" s="57"/>
      <c r="AM137" s="57"/>
      <c r="AN137" s="5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row>
    <row r="138" spans="1:71" s="65" customFormat="1" ht="21.75">
      <c r="A138" s="114"/>
      <c r="B138" s="114"/>
      <c r="C138" s="293"/>
      <c r="D138" s="114"/>
      <c r="E138" s="293"/>
      <c r="F138" s="114"/>
      <c r="G138" s="293"/>
      <c r="H138" s="114"/>
      <c r="I138" s="293"/>
      <c r="J138" s="114"/>
      <c r="K138" s="293"/>
      <c r="L138" s="114"/>
      <c r="M138" s="293"/>
      <c r="N138" s="114"/>
      <c r="O138" s="114"/>
      <c r="P138" s="114"/>
      <c r="Q138" s="114"/>
      <c r="R138" s="192"/>
      <c r="S138" s="191"/>
      <c r="T138" s="191"/>
      <c r="U138" s="191"/>
      <c r="V138" s="191"/>
      <c r="W138" s="191"/>
      <c r="X138" s="191"/>
      <c r="Y138" s="191"/>
      <c r="Z138" s="191"/>
      <c r="AA138" s="57"/>
      <c r="AB138" s="57"/>
      <c r="AC138" s="57"/>
      <c r="AD138" s="57"/>
      <c r="AE138" s="57"/>
      <c r="AF138" s="57"/>
      <c r="AG138" s="57"/>
      <c r="AH138" s="57"/>
      <c r="AI138" s="57"/>
      <c r="AJ138" s="57"/>
      <c r="AK138" s="57"/>
      <c r="AL138" s="57"/>
      <c r="AM138" s="57"/>
      <c r="AN138" s="57"/>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row>
  </sheetData>
  <sheetProtection/>
  <mergeCells count="10">
    <mergeCell ref="A2:A3"/>
    <mergeCell ref="B2:C2"/>
    <mergeCell ref="D2:E2"/>
    <mergeCell ref="R2:S2"/>
    <mergeCell ref="N2:O2"/>
    <mergeCell ref="P2:Q2"/>
    <mergeCell ref="F2:G2"/>
    <mergeCell ref="H2:I2"/>
    <mergeCell ref="L2:M2"/>
    <mergeCell ref="J2:K2"/>
  </mergeCells>
  <printOptions horizontalCentered="1"/>
  <pageMargins left="0" right="0" top="0" bottom="0.05" header="0.39" footer="0.4"/>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sheetPr>
    <tabColor indexed="14"/>
  </sheetPr>
  <dimension ref="A1:H244"/>
  <sheetViews>
    <sheetView zoomScalePageLayoutView="0" workbookViewId="0" topLeftCell="A19">
      <selection activeCell="D1" sqref="D1"/>
    </sheetView>
  </sheetViews>
  <sheetFormatPr defaultColWidth="9.140625" defaultRowHeight="12.75"/>
  <cols>
    <col min="1" max="1" width="13.28125" style="707" customWidth="1"/>
    <col min="2" max="2" width="3.00390625" style="707" bestFit="1" customWidth="1"/>
    <col min="3" max="3" width="43.7109375" style="715" customWidth="1"/>
    <col min="4" max="4" width="62.57421875" style="708" customWidth="1"/>
    <col min="5" max="5" width="5.8515625" style="707" customWidth="1"/>
    <col min="6" max="6" width="9.57421875" style="708" customWidth="1"/>
    <col min="7" max="7" width="9.140625" style="91" customWidth="1"/>
    <col min="8" max="8" width="11.7109375" style="91" customWidth="1"/>
    <col min="9" max="16384" width="9.140625" style="708" customWidth="1"/>
  </cols>
  <sheetData>
    <row r="1" spans="1:6" ht="24.75" customHeight="1" thickBot="1">
      <c r="A1" s="189" t="s">
        <v>542</v>
      </c>
      <c r="C1" s="706"/>
      <c r="D1" s="1123" t="s">
        <v>483</v>
      </c>
      <c r="E1" s="745"/>
      <c r="F1" s="19"/>
    </row>
    <row r="2" spans="1:8" s="698" customFormat="1" ht="34.5" customHeight="1" thickBot="1">
      <c r="A2" s="721" t="s">
        <v>533</v>
      </c>
      <c r="B2" s="722"/>
      <c r="C2" s="723" t="s">
        <v>543</v>
      </c>
      <c r="D2" s="721" t="s">
        <v>544</v>
      </c>
      <c r="E2" s="721" t="s">
        <v>474</v>
      </c>
      <c r="F2" s="724" t="s">
        <v>475</v>
      </c>
      <c r="H2" s="699"/>
    </row>
    <row r="3" spans="1:8" s="194" customFormat="1" ht="61.5" customHeight="1">
      <c r="A3" s="725" t="s">
        <v>50</v>
      </c>
      <c r="B3" s="231">
        <v>1</v>
      </c>
      <c r="C3" s="726" t="s">
        <v>188</v>
      </c>
      <c r="D3" s="727" t="s">
        <v>239</v>
      </c>
      <c r="E3" s="728">
        <v>19</v>
      </c>
      <c r="F3" s="729">
        <v>2823.7</v>
      </c>
      <c r="H3" s="193"/>
    </row>
    <row r="4" spans="1:8" s="194" customFormat="1" ht="84">
      <c r="A4" s="223"/>
      <c r="B4" s="231">
        <v>2</v>
      </c>
      <c r="C4" s="726" t="s">
        <v>240</v>
      </c>
      <c r="D4" s="727" t="s">
        <v>241</v>
      </c>
      <c r="E4" s="728">
        <v>19</v>
      </c>
      <c r="F4" s="729">
        <v>2820.2</v>
      </c>
      <c r="H4" s="193"/>
    </row>
    <row r="5" spans="2:6" ht="63">
      <c r="B5" s="231">
        <v>3</v>
      </c>
      <c r="C5" s="726" t="s">
        <v>242</v>
      </c>
      <c r="D5" s="727" t="s">
        <v>243</v>
      </c>
      <c r="E5" s="728">
        <v>22</v>
      </c>
      <c r="F5" s="729">
        <v>2470.2</v>
      </c>
    </row>
    <row r="6" spans="2:6" ht="63">
      <c r="B6" s="231">
        <v>4</v>
      </c>
      <c r="C6" s="726" t="s">
        <v>172</v>
      </c>
      <c r="D6" s="727" t="s">
        <v>244</v>
      </c>
      <c r="E6" s="728">
        <v>17</v>
      </c>
      <c r="F6" s="729">
        <v>2693.3</v>
      </c>
    </row>
    <row r="7" spans="2:6" ht="63">
      <c r="B7" s="231">
        <v>5</v>
      </c>
      <c r="C7" s="726" t="s">
        <v>245</v>
      </c>
      <c r="D7" s="727" t="s">
        <v>246</v>
      </c>
      <c r="E7" s="728">
        <v>17</v>
      </c>
      <c r="F7" s="729">
        <v>2410.8</v>
      </c>
    </row>
    <row r="8" spans="1:8" s="698" customFormat="1" ht="21" customHeight="1">
      <c r="A8" s="700"/>
      <c r="B8" s="701"/>
      <c r="C8" s="248" t="s">
        <v>481</v>
      </c>
      <c r="D8" s="702"/>
      <c r="E8" s="248">
        <f>SUM(E3:E7)</f>
        <v>94</v>
      </c>
      <c r="F8" s="294">
        <f>SUM(F3:F7)</f>
        <v>13218.2</v>
      </c>
      <c r="H8" s="699"/>
    </row>
    <row r="9" spans="1:8" s="8" customFormat="1" ht="42">
      <c r="A9" s="315" t="s">
        <v>64</v>
      </c>
      <c r="B9" s="308">
        <v>6</v>
      </c>
      <c r="C9" s="726" t="s">
        <v>247</v>
      </c>
      <c r="D9" s="308" t="s">
        <v>248</v>
      </c>
      <c r="E9" s="730">
        <v>20</v>
      </c>
      <c r="F9" s="731">
        <v>2868</v>
      </c>
      <c r="H9" s="91"/>
    </row>
    <row r="10" spans="1:8" s="703" customFormat="1" ht="21.75" customHeight="1">
      <c r="A10" s="250"/>
      <c r="B10" s="704"/>
      <c r="C10" s="249" t="s">
        <v>481</v>
      </c>
      <c r="D10" s="250"/>
      <c r="E10" s="249">
        <f>SUM(E9:E9)</f>
        <v>20</v>
      </c>
      <c r="F10" s="295">
        <f>SUM(F9:F9)</f>
        <v>2868</v>
      </c>
      <c r="H10" s="42"/>
    </row>
    <row r="11" spans="1:8" s="8" customFormat="1" ht="63">
      <c r="A11" s="315" t="s">
        <v>56</v>
      </c>
      <c r="B11" s="231">
        <v>7</v>
      </c>
      <c r="C11" s="726" t="s">
        <v>171</v>
      </c>
      <c r="D11" s="231" t="s">
        <v>249</v>
      </c>
      <c r="E11" s="732">
        <v>20</v>
      </c>
      <c r="F11" s="729">
        <v>2074.2</v>
      </c>
      <c r="H11" s="91"/>
    </row>
    <row r="12" spans="1:8" s="8" customFormat="1" ht="84">
      <c r="A12" s="148"/>
      <c r="B12" s="231">
        <v>8</v>
      </c>
      <c r="C12" s="726" t="s">
        <v>189</v>
      </c>
      <c r="D12" s="231" t="s">
        <v>250</v>
      </c>
      <c r="E12" s="732">
        <v>19</v>
      </c>
      <c r="F12" s="729">
        <v>2615.2</v>
      </c>
      <c r="H12" s="91"/>
    </row>
    <row r="13" spans="1:8" s="8" customFormat="1" ht="84">
      <c r="A13" s="148"/>
      <c r="B13" s="231">
        <v>9</v>
      </c>
      <c r="C13" s="726" t="s">
        <v>251</v>
      </c>
      <c r="D13" s="231" t="s">
        <v>252</v>
      </c>
      <c r="E13" s="732">
        <v>20</v>
      </c>
      <c r="F13" s="729">
        <v>2085.9</v>
      </c>
      <c r="H13" s="91"/>
    </row>
    <row r="14" spans="1:8" s="703" customFormat="1" ht="21.75" customHeight="1">
      <c r="A14" s="250"/>
      <c r="B14" s="704"/>
      <c r="C14" s="249" t="s">
        <v>481</v>
      </c>
      <c r="D14" s="250"/>
      <c r="E14" s="249">
        <f>SUM(E11:E13)</f>
        <v>59</v>
      </c>
      <c r="F14" s="295">
        <f>SUM(F11:F13)</f>
        <v>6775.299999999999</v>
      </c>
      <c r="H14" s="42"/>
    </row>
    <row r="15" spans="1:8" s="232" customFormat="1" ht="62.25" customHeight="1">
      <c r="A15" s="315" t="s">
        <v>57</v>
      </c>
      <c r="B15" s="308">
        <v>10</v>
      </c>
      <c r="C15" s="726" t="s">
        <v>151</v>
      </c>
      <c r="D15" s="231" t="s">
        <v>253</v>
      </c>
      <c r="E15" s="730">
        <v>17</v>
      </c>
      <c r="F15" s="731">
        <v>2089.5</v>
      </c>
      <c r="H15" s="233"/>
    </row>
    <row r="16" spans="1:8" s="734" customFormat="1" ht="24.75" customHeight="1">
      <c r="A16" s="252"/>
      <c r="B16" s="733"/>
      <c r="C16" s="251" t="s">
        <v>481</v>
      </c>
      <c r="D16" s="252"/>
      <c r="E16" s="253">
        <f>SUM(E15:E15)</f>
        <v>17</v>
      </c>
      <c r="F16" s="296">
        <f>SUM(F15:F15)</f>
        <v>2089.5</v>
      </c>
      <c r="H16" s="735"/>
    </row>
    <row r="17" spans="1:8" s="232" customFormat="1" ht="63">
      <c r="A17" s="315" t="s">
        <v>58</v>
      </c>
      <c r="B17" s="308">
        <v>11</v>
      </c>
      <c r="C17" s="736" t="s">
        <v>190</v>
      </c>
      <c r="D17" s="308" t="s">
        <v>254</v>
      </c>
      <c r="E17" s="730">
        <v>18</v>
      </c>
      <c r="F17" s="731">
        <v>2414.7</v>
      </c>
      <c r="H17" s="233"/>
    </row>
    <row r="18" spans="1:8" s="149" customFormat="1" ht="63">
      <c r="A18" s="298"/>
      <c r="B18" s="231">
        <v>12</v>
      </c>
      <c r="C18" s="726" t="s">
        <v>191</v>
      </c>
      <c r="D18" s="231" t="s">
        <v>255</v>
      </c>
      <c r="E18" s="732">
        <v>19</v>
      </c>
      <c r="F18" s="729">
        <v>2318.2</v>
      </c>
      <c r="H18" s="195"/>
    </row>
    <row r="19" spans="1:8" s="149" customFormat="1" ht="63">
      <c r="A19" s="298"/>
      <c r="B19" s="231">
        <v>13</v>
      </c>
      <c r="C19" s="726" t="s">
        <v>192</v>
      </c>
      <c r="D19" s="231" t="s">
        <v>256</v>
      </c>
      <c r="E19" s="732">
        <v>20</v>
      </c>
      <c r="F19" s="729">
        <v>2993</v>
      </c>
      <c r="H19" s="195"/>
    </row>
    <row r="20" spans="1:8" s="149" customFormat="1" ht="63">
      <c r="A20" s="298"/>
      <c r="B20" s="231">
        <v>14</v>
      </c>
      <c r="C20" s="726" t="s">
        <v>193</v>
      </c>
      <c r="D20" s="231" t="s">
        <v>257</v>
      </c>
      <c r="E20" s="732">
        <v>19</v>
      </c>
      <c r="F20" s="729">
        <v>1463.6</v>
      </c>
      <c r="H20" s="195"/>
    </row>
    <row r="21" spans="1:8" s="705" customFormat="1" ht="24.75" customHeight="1">
      <c r="A21" s="257"/>
      <c r="B21" s="733"/>
      <c r="C21" s="251" t="s">
        <v>481</v>
      </c>
      <c r="D21" s="252"/>
      <c r="E21" s="746">
        <f>SUM(E17:E20)</f>
        <v>76</v>
      </c>
      <c r="F21" s="296">
        <f>SUM(F17:F20)</f>
        <v>9189.5</v>
      </c>
      <c r="H21" s="737"/>
    </row>
    <row r="22" spans="1:8" s="124" customFormat="1" ht="63">
      <c r="A22" s="315" t="s">
        <v>60</v>
      </c>
      <c r="B22" s="308">
        <v>15</v>
      </c>
      <c r="C22" s="726" t="s">
        <v>152</v>
      </c>
      <c r="D22" s="231" t="s">
        <v>258</v>
      </c>
      <c r="E22" s="730">
        <v>19</v>
      </c>
      <c r="F22" s="731">
        <v>4097.9</v>
      </c>
      <c r="H22" s="91"/>
    </row>
    <row r="23" spans="1:8" s="705" customFormat="1" ht="19.5" customHeight="1" thickBot="1">
      <c r="A23" s="254"/>
      <c r="B23" s="738"/>
      <c r="C23" s="739" t="s">
        <v>481</v>
      </c>
      <c r="D23" s="740"/>
      <c r="E23" s="739">
        <f>SUM(E22:E22)</f>
        <v>19</v>
      </c>
      <c r="F23" s="741">
        <f>SUM(F22:F22)</f>
        <v>4097.9</v>
      </c>
      <c r="H23" s="737"/>
    </row>
    <row r="24" spans="1:8" s="235" customFormat="1" ht="18.75" customHeight="1" thickBot="1">
      <c r="A24" s="133"/>
      <c r="B24" s="742"/>
      <c r="C24" s="723" t="s">
        <v>507</v>
      </c>
      <c r="D24" s="743"/>
      <c r="E24" s="747">
        <f>SUM(E3:E23)/2</f>
        <v>285</v>
      </c>
      <c r="F24" s="297">
        <f>SUM(F3:F23)/2</f>
        <v>38238.399999999994</v>
      </c>
      <c r="H24" s="744"/>
    </row>
    <row r="25" spans="1:8" s="124" customFormat="1" ht="19.5" customHeight="1">
      <c r="A25" s="149"/>
      <c r="B25" s="709"/>
      <c r="C25" s="198"/>
      <c r="D25" s="147"/>
      <c r="E25" s="148"/>
      <c r="F25" s="710"/>
      <c r="H25" s="91"/>
    </row>
    <row r="26" spans="1:8" s="124" customFormat="1" ht="19.5" customHeight="1">
      <c r="A26" s="67"/>
      <c r="B26" s="711"/>
      <c r="C26" s="198"/>
      <c r="D26" s="147"/>
      <c r="E26" s="148"/>
      <c r="F26" s="712"/>
      <c r="H26" s="91"/>
    </row>
    <row r="27" spans="1:8" s="8" customFormat="1" ht="18.75" customHeight="1">
      <c r="A27" s="117"/>
      <c r="B27" s="713"/>
      <c r="C27" s="197"/>
      <c r="D27" s="225"/>
      <c r="E27" s="226"/>
      <c r="F27" s="714"/>
      <c r="H27" s="91"/>
    </row>
    <row r="28" spans="1:8" s="8" customFormat="1" ht="18.75" customHeight="1">
      <c r="A28" s="117"/>
      <c r="B28" s="713"/>
      <c r="C28" s="197"/>
      <c r="D28" s="147"/>
      <c r="E28" s="148"/>
      <c r="F28" s="712"/>
      <c r="H28" s="91"/>
    </row>
    <row r="29" spans="1:8" s="8" customFormat="1" ht="18.75" customHeight="1">
      <c r="A29" s="117"/>
      <c r="B29" s="713"/>
      <c r="C29" s="197"/>
      <c r="D29" s="225"/>
      <c r="E29" s="226"/>
      <c r="F29" s="714"/>
      <c r="H29" s="91"/>
    </row>
    <row r="30" spans="1:8" s="8" customFormat="1" ht="18.75" customHeight="1">
      <c r="A30" s="117"/>
      <c r="B30" s="713"/>
      <c r="C30" s="197"/>
      <c r="D30" s="147"/>
      <c r="E30" s="226"/>
      <c r="F30" s="712"/>
      <c r="H30" s="91"/>
    </row>
    <row r="31" spans="1:8" s="8" customFormat="1" ht="18.75" customHeight="1">
      <c r="A31" s="117"/>
      <c r="B31" s="713"/>
      <c r="C31" s="197"/>
      <c r="D31" s="147"/>
      <c r="E31" s="148"/>
      <c r="F31" s="712"/>
      <c r="H31" s="91"/>
    </row>
    <row r="32" spans="1:8" s="8" customFormat="1" ht="18.75" customHeight="1">
      <c r="A32" s="117"/>
      <c r="B32" s="713"/>
      <c r="C32" s="197"/>
      <c r="D32" s="147"/>
      <c r="E32" s="148"/>
      <c r="F32" s="712"/>
      <c r="H32" s="91"/>
    </row>
    <row r="33" spans="1:8" s="124" customFormat="1" ht="19.5" customHeight="1">
      <c r="A33" s="117"/>
      <c r="B33" s="713"/>
      <c r="C33" s="196"/>
      <c r="D33" s="147"/>
      <c r="E33" s="148"/>
      <c r="F33" s="712"/>
      <c r="H33" s="91"/>
    </row>
    <row r="34" spans="1:8" s="124" customFormat="1" ht="19.5" customHeight="1">
      <c r="A34" s="117"/>
      <c r="B34" s="713"/>
      <c r="C34" s="196"/>
      <c r="D34" s="147"/>
      <c r="E34" s="148"/>
      <c r="F34" s="712"/>
      <c r="H34" s="91"/>
    </row>
    <row r="37" spans="1:8" s="149" customFormat="1" ht="21.75" customHeight="1">
      <c r="A37" s="150"/>
      <c r="B37" s="150"/>
      <c r="E37" s="150"/>
      <c r="F37" s="716"/>
      <c r="H37" s="195"/>
    </row>
    <row r="38" spans="1:8" s="124" customFormat="1" ht="18" customHeight="1">
      <c r="A38" s="150"/>
      <c r="B38" s="150"/>
      <c r="C38" s="717"/>
      <c r="D38" s="149"/>
      <c r="E38" s="150"/>
      <c r="F38" s="103"/>
      <c r="H38" s="91"/>
    </row>
    <row r="39" spans="3:5" s="91" customFormat="1" ht="19.5" customHeight="1">
      <c r="C39" s="718"/>
      <c r="E39" s="748"/>
    </row>
    <row r="40" spans="3:5" s="91" customFormat="1" ht="15">
      <c r="C40" s="718"/>
      <c r="E40" s="748"/>
    </row>
    <row r="41" spans="3:5" s="91" customFormat="1" ht="15">
      <c r="C41" s="718"/>
      <c r="E41" s="748"/>
    </row>
    <row r="42" spans="3:5" s="91" customFormat="1" ht="15">
      <c r="C42" s="718"/>
      <c r="E42" s="748"/>
    </row>
    <row r="43" spans="3:5" s="91" customFormat="1" ht="15">
      <c r="C43" s="718"/>
      <c r="E43" s="748"/>
    </row>
    <row r="44" spans="3:5" s="91" customFormat="1" ht="15">
      <c r="C44" s="718"/>
      <c r="E44" s="748"/>
    </row>
    <row r="45" spans="3:5" s="91" customFormat="1" ht="15">
      <c r="C45" s="718"/>
      <c r="E45" s="748"/>
    </row>
    <row r="46" spans="3:5" s="91" customFormat="1" ht="15">
      <c r="C46" s="718"/>
      <c r="E46" s="748"/>
    </row>
    <row r="47" spans="3:5" s="91" customFormat="1" ht="15">
      <c r="C47" s="718"/>
      <c r="E47" s="748"/>
    </row>
    <row r="48" spans="3:5" s="91" customFormat="1" ht="15">
      <c r="C48" s="718"/>
      <c r="E48" s="748"/>
    </row>
    <row r="49" spans="3:5" s="91" customFormat="1" ht="15">
      <c r="C49" s="718"/>
      <c r="E49" s="748"/>
    </row>
    <row r="50" spans="3:5" s="91" customFormat="1" ht="15">
      <c r="C50" s="718"/>
      <c r="E50" s="748"/>
    </row>
    <row r="51" spans="3:5" s="91" customFormat="1" ht="15">
      <c r="C51" s="718"/>
      <c r="E51" s="748"/>
    </row>
    <row r="52" spans="3:5" s="91" customFormat="1" ht="15">
      <c r="C52" s="718"/>
      <c r="E52" s="748"/>
    </row>
    <row r="53" spans="3:5" s="91" customFormat="1" ht="15">
      <c r="C53" s="718"/>
      <c r="E53" s="748"/>
    </row>
    <row r="54" spans="3:5" s="91" customFormat="1" ht="15">
      <c r="C54" s="718"/>
      <c r="E54" s="748"/>
    </row>
    <row r="55" spans="3:5" s="91" customFormat="1" ht="15">
      <c r="C55" s="718"/>
      <c r="E55" s="748"/>
    </row>
    <row r="56" spans="3:5" s="91" customFormat="1" ht="15">
      <c r="C56" s="718"/>
      <c r="E56" s="748"/>
    </row>
    <row r="57" spans="3:5" s="91" customFormat="1" ht="15">
      <c r="C57" s="718"/>
      <c r="E57" s="748"/>
    </row>
    <row r="58" spans="3:5" s="91" customFormat="1" ht="15">
      <c r="C58" s="718"/>
      <c r="E58" s="748"/>
    </row>
    <row r="59" spans="3:5" s="91" customFormat="1" ht="15">
      <c r="C59" s="718"/>
      <c r="E59" s="748"/>
    </row>
    <row r="60" spans="3:5" s="91" customFormat="1" ht="15">
      <c r="C60" s="718"/>
      <c r="E60" s="748"/>
    </row>
    <row r="61" spans="3:5" s="91" customFormat="1" ht="15">
      <c r="C61" s="718"/>
      <c r="E61" s="748"/>
    </row>
    <row r="62" spans="3:5" s="91" customFormat="1" ht="15">
      <c r="C62" s="718"/>
      <c r="E62" s="748"/>
    </row>
    <row r="63" spans="3:5" s="91" customFormat="1" ht="15">
      <c r="C63" s="718"/>
      <c r="E63" s="748"/>
    </row>
    <row r="64" spans="3:5" s="91" customFormat="1" ht="15">
      <c r="C64" s="718"/>
      <c r="E64" s="748"/>
    </row>
    <row r="65" spans="3:5" s="91" customFormat="1" ht="15">
      <c r="C65" s="718"/>
      <c r="E65" s="748"/>
    </row>
    <row r="66" spans="3:5" s="91" customFormat="1" ht="15">
      <c r="C66" s="718"/>
      <c r="E66" s="748"/>
    </row>
    <row r="67" spans="3:5" s="91" customFormat="1" ht="15">
      <c r="C67" s="718"/>
      <c r="E67" s="748"/>
    </row>
    <row r="68" spans="3:5" s="91" customFormat="1" ht="15">
      <c r="C68" s="718"/>
      <c r="E68" s="748"/>
    </row>
    <row r="69" spans="3:5" s="91" customFormat="1" ht="15">
      <c r="C69" s="718"/>
      <c r="E69" s="748"/>
    </row>
    <row r="70" spans="3:5" s="91" customFormat="1" ht="15">
      <c r="C70" s="718"/>
      <c r="E70" s="748"/>
    </row>
    <row r="71" spans="3:5" s="91" customFormat="1" ht="15">
      <c r="C71" s="718"/>
      <c r="E71" s="748"/>
    </row>
    <row r="72" spans="3:5" s="91" customFormat="1" ht="15">
      <c r="C72" s="718"/>
      <c r="E72" s="748"/>
    </row>
    <row r="73" spans="3:5" s="91" customFormat="1" ht="15">
      <c r="C73" s="718"/>
      <c r="E73" s="748"/>
    </row>
    <row r="74" spans="3:5" s="91" customFormat="1" ht="15">
      <c r="C74" s="718"/>
      <c r="E74" s="748"/>
    </row>
    <row r="75" spans="3:5" s="91" customFormat="1" ht="15">
      <c r="C75" s="718"/>
      <c r="E75" s="748"/>
    </row>
    <row r="76" spans="3:5" s="91" customFormat="1" ht="15">
      <c r="C76" s="718"/>
      <c r="E76" s="748"/>
    </row>
    <row r="77" spans="3:5" s="91" customFormat="1" ht="15">
      <c r="C77" s="718"/>
      <c r="E77" s="748"/>
    </row>
    <row r="78" spans="3:5" s="91" customFormat="1" ht="15">
      <c r="C78" s="718"/>
      <c r="E78" s="748"/>
    </row>
    <row r="79" spans="3:5" s="91" customFormat="1" ht="15">
      <c r="C79" s="718"/>
      <c r="E79" s="748"/>
    </row>
    <row r="80" spans="3:5" s="91" customFormat="1" ht="15">
      <c r="C80" s="718"/>
      <c r="E80" s="748"/>
    </row>
    <row r="81" spans="3:5" s="91" customFormat="1" ht="15">
      <c r="C81" s="718"/>
      <c r="E81" s="748"/>
    </row>
    <row r="82" spans="3:5" s="91" customFormat="1" ht="18.75" customHeight="1">
      <c r="C82" s="718"/>
      <c r="E82" s="748"/>
    </row>
    <row r="83" spans="3:5" s="91" customFormat="1" ht="18" customHeight="1">
      <c r="C83" s="718"/>
      <c r="E83" s="748"/>
    </row>
    <row r="84" spans="3:5" s="91" customFormat="1" ht="18" customHeight="1">
      <c r="C84" s="718"/>
      <c r="E84" s="748"/>
    </row>
    <row r="85" spans="3:5" s="91" customFormat="1" ht="18.75" customHeight="1">
      <c r="C85" s="718"/>
      <c r="E85" s="748"/>
    </row>
    <row r="86" spans="3:5" s="91" customFormat="1" ht="18.75" customHeight="1">
      <c r="C86" s="718"/>
      <c r="E86" s="748"/>
    </row>
    <row r="87" spans="3:5" s="91" customFormat="1" ht="17.25" customHeight="1">
      <c r="C87" s="718"/>
      <c r="E87" s="748"/>
    </row>
    <row r="88" spans="3:5" s="91" customFormat="1" ht="19.5" customHeight="1">
      <c r="C88" s="718"/>
      <c r="E88" s="748"/>
    </row>
    <row r="89" spans="3:5" s="91" customFormat="1" ht="19.5" customHeight="1">
      <c r="C89" s="718"/>
      <c r="E89" s="748"/>
    </row>
    <row r="90" spans="3:5" s="91" customFormat="1" ht="15">
      <c r="C90" s="718"/>
      <c r="E90" s="748"/>
    </row>
    <row r="91" spans="3:5" s="91" customFormat="1" ht="18.75" customHeight="1">
      <c r="C91" s="718"/>
      <c r="E91" s="748"/>
    </row>
    <row r="92" spans="3:5" s="91" customFormat="1" ht="18.75" customHeight="1">
      <c r="C92" s="718"/>
      <c r="E92" s="748"/>
    </row>
    <row r="93" spans="3:5" s="91" customFormat="1" ht="18.75" customHeight="1">
      <c r="C93" s="718"/>
      <c r="E93" s="748"/>
    </row>
    <row r="94" spans="3:5" s="91" customFormat="1" ht="18.75" customHeight="1">
      <c r="C94" s="718"/>
      <c r="E94" s="748"/>
    </row>
    <row r="95" spans="3:5" s="91" customFormat="1" ht="19.5" customHeight="1">
      <c r="C95" s="718"/>
      <c r="E95" s="748"/>
    </row>
    <row r="96" spans="3:5" s="91" customFormat="1" ht="15">
      <c r="C96" s="718"/>
      <c r="E96" s="748"/>
    </row>
    <row r="97" spans="3:5" s="91" customFormat="1" ht="15">
      <c r="C97" s="718"/>
      <c r="E97" s="748"/>
    </row>
    <row r="98" spans="3:5" s="91" customFormat="1" ht="15">
      <c r="C98" s="718"/>
      <c r="E98" s="748"/>
    </row>
    <row r="99" spans="3:5" s="91" customFormat="1" ht="15">
      <c r="C99" s="718"/>
      <c r="E99" s="748"/>
    </row>
    <row r="100" spans="3:5" s="91" customFormat="1" ht="15">
      <c r="C100" s="718"/>
      <c r="E100" s="748"/>
    </row>
    <row r="101" spans="3:5" s="91" customFormat="1" ht="15">
      <c r="C101" s="718"/>
      <c r="E101" s="748"/>
    </row>
    <row r="102" spans="3:5" s="91" customFormat="1" ht="15">
      <c r="C102" s="718"/>
      <c r="E102" s="748"/>
    </row>
    <row r="103" spans="3:5" s="91" customFormat="1" ht="15">
      <c r="C103" s="718"/>
      <c r="E103" s="748"/>
    </row>
    <row r="104" spans="3:5" s="91" customFormat="1" ht="15">
      <c r="C104" s="718"/>
      <c r="E104" s="748"/>
    </row>
    <row r="105" spans="3:5" s="91" customFormat="1" ht="15">
      <c r="C105" s="718"/>
      <c r="E105" s="748"/>
    </row>
    <row r="106" spans="3:5" s="91" customFormat="1" ht="15">
      <c r="C106" s="718"/>
      <c r="E106" s="748"/>
    </row>
    <row r="107" spans="3:5" s="91" customFormat="1" ht="15">
      <c r="C107" s="718"/>
      <c r="E107" s="748"/>
    </row>
    <row r="108" spans="3:5" s="91" customFormat="1" ht="15">
      <c r="C108" s="718"/>
      <c r="E108" s="748"/>
    </row>
    <row r="109" spans="3:5" s="91" customFormat="1" ht="15">
      <c r="C109" s="718"/>
      <c r="E109" s="748"/>
    </row>
    <row r="110" spans="3:5" s="91" customFormat="1" ht="15">
      <c r="C110" s="718"/>
      <c r="E110" s="748"/>
    </row>
    <row r="111" spans="3:5" s="91" customFormat="1" ht="15">
      <c r="C111" s="718"/>
      <c r="E111" s="748"/>
    </row>
    <row r="112" spans="3:5" s="91" customFormat="1" ht="15">
      <c r="C112" s="718"/>
      <c r="E112" s="748"/>
    </row>
    <row r="113" spans="1:8" s="8" customFormat="1" ht="18.75">
      <c r="A113" s="719"/>
      <c r="B113" s="719"/>
      <c r="C113" s="720"/>
      <c r="E113" s="719"/>
      <c r="H113" s="91"/>
    </row>
    <row r="114" spans="1:8" s="8" customFormat="1" ht="18.75">
      <c r="A114" s="719"/>
      <c r="B114" s="719"/>
      <c r="C114" s="720"/>
      <c r="E114" s="719"/>
      <c r="H114" s="91"/>
    </row>
    <row r="115" spans="1:8" s="8" customFormat="1" ht="18.75">
      <c r="A115" s="719"/>
      <c r="B115" s="719"/>
      <c r="C115" s="720"/>
      <c r="E115" s="719"/>
      <c r="H115" s="91"/>
    </row>
    <row r="116" spans="1:8" s="8" customFormat="1" ht="18.75">
      <c r="A116" s="719"/>
      <c r="B116" s="719"/>
      <c r="C116" s="720"/>
      <c r="E116" s="719"/>
      <c r="H116" s="91"/>
    </row>
    <row r="117" spans="1:8" s="8" customFormat="1" ht="18.75">
      <c r="A117" s="719"/>
      <c r="B117" s="719"/>
      <c r="C117" s="720"/>
      <c r="E117" s="719"/>
      <c r="H117" s="91"/>
    </row>
    <row r="118" spans="1:8" s="8" customFormat="1" ht="18.75">
      <c r="A118" s="719"/>
      <c r="B118" s="719"/>
      <c r="C118" s="720"/>
      <c r="E118" s="719"/>
      <c r="H118" s="91"/>
    </row>
    <row r="119" spans="1:8" s="8" customFormat="1" ht="18.75">
      <c r="A119" s="719"/>
      <c r="B119" s="719"/>
      <c r="C119" s="720"/>
      <c r="E119" s="719"/>
      <c r="H119" s="91"/>
    </row>
    <row r="120" spans="1:8" s="8" customFormat="1" ht="18.75">
      <c r="A120" s="719"/>
      <c r="B120" s="719"/>
      <c r="C120" s="720"/>
      <c r="E120" s="719"/>
      <c r="H120" s="91"/>
    </row>
    <row r="121" spans="1:8" s="8" customFormat="1" ht="18.75">
      <c r="A121" s="719"/>
      <c r="B121" s="719"/>
      <c r="C121" s="720"/>
      <c r="E121" s="719"/>
      <c r="H121" s="91"/>
    </row>
    <row r="122" spans="1:8" s="8" customFormat="1" ht="18.75">
      <c r="A122" s="719"/>
      <c r="B122" s="719"/>
      <c r="C122" s="720"/>
      <c r="E122" s="719"/>
      <c r="H122" s="91"/>
    </row>
    <row r="123" spans="1:8" s="8" customFormat="1" ht="18.75">
      <c r="A123" s="719"/>
      <c r="B123" s="719"/>
      <c r="C123" s="720"/>
      <c r="E123" s="719"/>
      <c r="H123" s="91"/>
    </row>
    <row r="124" spans="1:8" s="8" customFormat="1" ht="18.75">
      <c r="A124" s="719"/>
      <c r="B124" s="719"/>
      <c r="C124" s="720"/>
      <c r="E124" s="719"/>
      <c r="H124" s="91"/>
    </row>
    <row r="125" spans="1:8" s="8" customFormat="1" ht="18.75">
      <c r="A125" s="719"/>
      <c r="B125" s="719"/>
      <c r="C125" s="720"/>
      <c r="E125" s="719"/>
      <c r="H125" s="91"/>
    </row>
    <row r="126" spans="1:8" s="8" customFormat="1" ht="18.75">
      <c r="A126" s="719"/>
      <c r="B126" s="719"/>
      <c r="C126" s="720"/>
      <c r="E126" s="719"/>
      <c r="H126" s="91"/>
    </row>
    <row r="127" spans="1:8" s="8" customFormat="1" ht="18.75">
      <c r="A127" s="719"/>
      <c r="B127" s="719"/>
      <c r="C127" s="720"/>
      <c r="E127" s="719"/>
      <c r="H127" s="91"/>
    </row>
    <row r="128" spans="1:8" s="8" customFormat="1" ht="18.75">
      <c r="A128" s="719"/>
      <c r="B128" s="719"/>
      <c r="C128" s="720"/>
      <c r="E128" s="719"/>
      <c r="H128" s="91"/>
    </row>
    <row r="129" spans="1:8" s="8" customFormat="1" ht="18.75">
      <c r="A129" s="719"/>
      <c r="B129" s="719"/>
      <c r="C129" s="720"/>
      <c r="E129" s="719"/>
      <c r="H129" s="91"/>
    </row>
    <row r="130" spans="1:8" s="8" customFormat="1" ht="18.75">
      <c r="A130" s="719"/>
      <c r="B130" s="719"/>
      <c r="C130" s="720"/>
      <c r="E130" s="719"/>
      <c r="H130" s="91"/>
    </row>
    <row r="131" spans="1:8" s="8" customFormat="1" ht="18.75">
      <c r="A131" s="719"/>
      <c r="B131" s="719"/>
      <c r="C131" s="720"/>
      <c r="E131" s="719"/>
      <c r="H131" s="91"/>
    </row>
    <row r="132" spans="1:8" s="8" customFormat="1" ht="18.75">
      <c r="A132" s="719"/>
      <c r="B132" s="719"/>
      <c r="C132" s="720"/>
      <c r="E132" s="719"/>
      <c r="H132" s="91"/>
    </row>
    <row r="133" spans="1:8" s="8" customFormat="1" ht="18.75">
      <c r="A133" s="719"/>
      <c r="B133" s="719"/>
      <c r="C133" s="720"/>
      <c r="E133" s="719"/>
      <c r="H133" s="91"/>
    </row>
    <row r="134" spans="1:8" s="8" customFormat="1" ht="18.75">
      <c r="A134" s="719"/>
      <c r="B134" s="719"/>
      <c r="C134" s="720"/>
      <c r="E134" s="719"/>
      <c r="H134" s="91"/>
    </row>
    <row r="135" spans="1:8" s="8" customFormat="1" ht="18.75">
      <c r="A135" s="719"/>
      <c r="B135" s="719"/>
      <c r="C135" s="720"/>
      <c r="E135" s="719"/>
      <c r="H135" s="91"/>
    </row>
    <row r="136" spans="1:8" s="8" customFormat="1" ht="18.75">
      <c r="A136" s="719"/>
      <c r="B136" s="719"/>
      <c r="C136" s="720"/>
      <c r="E136" s="719"/>
      <c r="H136" s="91"/>
    </row>
    <row r="137" spans="1:8" s="8" customFormat="1" ht="18.75">
      <c r="A137" s="719"/>
      <c r="B137" s="719"/>
      <c r="C137" s="720"/>
      <c r="E137" s="719"/>
      <c r="H137" s="91"/>
    </row>
    <row r="138" spans="1:8" s="8" customFormat="1" ht="18.75">
      <c r="A138" s="719"/>
      <c r="B138" s="719"/>
      <c r="C138" s="720"/>
      <c r="E138" s="719"/>
      <c r="H138" s="91"/>
    </row>
    <row r="139" spans="1:8" s="8" customFormat="1" ht="18.75">
      <c r="A139" s="719"/>
      <c r="B139" s="719"/>
      <c r="C139" s="720"/>
      <c r="E139" s="719"/>
      <c r="H139" s="91"/>
    </row>
    <row r="140" spans="1:8" s="8" customFormat="1" ht="18.75">
      <c r="A140" s="719"/>
      <c r="B140" s="719"/>
      <c r="C140" s="720"/>
      <c r="E140" s="719"/>
      <c r="H140" s="91"/>
    </row>
    <row r="141" spans="1:8" s="8" customFormat="1" ht="18.75">
      <c r="A141" s="719"/>
      <c r="B141" s="719"/>
      <c r="C141" s="720"/>
      <c r="E141" s="719"/>
      <c r="H141" s="91"/>
    </row>
    <row r="142" spans="1:8" s="8" customFormat="1" ht="18.75">
      <c r="A142" s="719"/>
      <c r="B142" s="719"/>
      <c r="C142" s="720"/>
      <c r="E142" s="719"/>
      <c r="H142" s="91"/>
    </row>
    <row r="143" spans="1:8" s="8" customFormat="1" ht="18.75">
      <c r="A143" s="719"/>
      <c r="B143" s="719"/>
      <c r="C143" s="720"/>
      <c r="E143" s="719"/>
      <c r="H143" s="91"/>
    </row>
    <row r="144" spans="1:8" s="8" customFormat="1" ht="18.75">
      <c r="A144" s="719"/>
      <c r="B144" s="719"/>
      <c r="C144" s="720"/>
      <c r="E144" s="719"/>
      <c r="H144" s="91"/>
    </row>
    <row r="145" spans="1:8" s="8" customFormat="1" ht="18.75">
      <c r="A145" s="719"/>
      <c r="B145" s="719"/>
      <c r="C145" s="720"/>
      <c r="E145" s="719"/>
      <c r="H145" s="91"/>
    </row>
    <row r="146" spans="1:8" s="8" customFormat="1" ht="18.75">
      <c r="A146" s="719"/>
      <c r="B146" s="719"/>
      <c r="C146" s="720"/>
      <c r="E146" s="719"/>
      <c r="H146" s="91"/>
    </row>
    <row r="147" spans="1:8" s="8" customFormat="1" ht="18.75">
      <c r="A147" s="719"/>
      <c r="B147" s="719"/>
      <c r="C147" s="720"/>
      <c r="E147" s="719"/>
      <c r="H147" s="91"/>
    </row>
    <row r="148" spans="1:8" s="8" customFormat="1" ht="18.75">
      <c r="A148" s="719"/>
      <c r="B148" s="719"/>
      <c r="C148" s="720"/>
      <c r="E148" s="719"/>
      <c r="H148" s="91"/>
    </row>
    <row r="149" spans="1:8" s="8" customFormat="1" ht="18.75">
      <c r="A149" s="719"/>
      <c r="B149" s="719"/>
      <c r="C149" s="720"/>
      <c r="E149" s="719"/>
      <c r="H149" s="91"/>
    </row>
    <row r="150" spans="1:8" s="8" customFormat="1" ht="18.75">
      <c r="A150" s="719"/>
      <c r="B150" s="719"/>
      <c r="C150" s="720"/>
      <c r="E150" s="719"/>
      <c r="H150" s="91"/>
    </row>
    <row r="151" spans="1:8" s="8" customFormat="1" ht="18.75">
      <c r="A151" s="719"/>
      <c r="B151" s="719"/>
      <c r="C151" s="720"/>
      <c r="E151" s="719"/>
      <c r="H151" s="91"/>
    </row>
    <row r="152" spans="1:8" s="8" customFormat="1" ht="18.75">
      <c r="A152" s="719"/>
      <c r="B152" s="719"/>
      <c r="C152" s="720"/>
      <c r="E152" s="719"/>
      <c r="H152" s="91"/>
    </row>
    <row r="153" spans="1:8" s="8" customFormat="1" ht="18.75">
      <c r="A153" s="719"/>
      <c r="B153" s="719"/>
      <c r="C153" s="720"/>
      <c r="E153" s="719"/>
      <c r="H153" s="91"/>
    </row>
    <row r="154" spans="1:8" s="8" customFormat="1" ht="18.75">
      <c r="A154" s="719"/>
      <c r="B154" s="719"/>
      <c r="C154" s="720"/>
      <c r="E154" s="719"/>
      <c r="H154" s="91"/>
    </row>
    <row r="155" spans="1:8" s="8" customFormat="1" ht="18.75">
      <c r="A155" s="719"/>
      <c r="B155" s="719"/>
      <c r="C155" s="720"/>
      <c r="E155" s="719"/>
      <c r="H155" s="91"/>
    </row>
    <row r="156" spans="1:8" s="8" customFormat="1" ht="18.75">
      <c r="A156" s="719"/>
      <c r="B156" s="719"/>
      <c r="C156" s="720"/>
      <c r="E156" s="719"/>
      <c r="H156" s="91"/>
    </row>
    <row r="157" spans="1:8" s="8" customFormat="1" ht="18.75">
      <c r="A157" s="719"/>
      <c r="B157" s="719"/>
      <c r="C157" s="720"/>
      <c r="E157" s="719"/>
      <c r="H157" s="91"/>
    </row>
    <row r="158" spans="1:8" s="8" customFormat="1" ht="18.75">
      <c r="A158" s="719"/>
      <c r="B158" s="719"/>
      <c r="C158" s="720"/>
      <c r="E158" s="719"/>
      <c r="H158" s="91"/>
    </row>
    <row r="159" spans="1:8" s="8" customFormat="1" ht="18.75">
      <c r="A159" s="719"/>
      <c r="B159" s="719"/>
      <c r="C159" s="720"/>
      <c r="E159" s="719"/>
      <c r="H159" s="91"/>
    </row>
    <row r="160" spans="1:8" s="8" customFormat="1" ht="18.75">
      <c r="A160" s="719"/>
      <c r="B160" s="719"/>
      <c r="C160" s="720"/>
      <c r="E160" s="719"/>
      <c r="H160" s="91"/>
    </row>
    <row r="161" spans="1:8" s="8" customFormat="1" ht="18.75">
      <c r="A161" s="719"/>
      <c r="B161" s="719"/>
      <c r="C161" s="720"/>
      <c r="E161" s="719"/>
      <c r="H161" s="91"/>
    </row>
    <row r="162" spans="1:8" s="8" customFormat="1" ht="18.75">
      <c r="A162" s="719"/>
      <c r="B162" s="719"/>
      <c r="C162" s="720"/>
      <c r="E162" s="719"/>
      <c r="H162" s="91"/>
    </row>
    <row r="163" spans="1:8" s="8" customFormat="1" ht="18.75">
      <c r="A163" s="719"/>
      <c r="B163" s="719"/>
      <c r="C163" s="720"/>
      <c r="E163" s="719"/>
      <c r="H163" s="91"/>
    </row>
    <row r="164" spans="1:8" s="8" customFormat="1" ht="18.75">
      <c r="A164" s="719"/>
      <c r="B164" s="719"/>
      <c r="C164" s="720"/>
      <c r="E164" s="719"/>
      <c r="H164" s="91"/>
    </row>
    <row r="165" spans="1:8" s="8" customFormat="1" ht="18.75">
      <c r="A165" s="719"/>
      <c r="B165" s="719"/>
      <c r="C165" s="720"/>
      <c r="E165" s="719"/>
      <c r="H165" s="91"/>
    </row>
    <row r="166" spans="1:8" s="8" customFormat="1" ht="18.75">
      <c r="A166" s="719"/>
      <c r="B166" s="719"/>
      <c r="C166" s="720"/>
      <c r="E166" s="719"/>
      <c r="H166" s="91"/>
    </row>
    <row r="167" spans="1:8" s="8" customFormat="1" ht="18.75">
      <c r="A167" s="719"/>
      <c r="B167" s="719"/>
      <c r="C167" s="720"/>
      <c r="E167" s="719"/>
      <c r="H167" s="91"/>
    </row>
    <row r="168" spans="1:8" s="8" customFormat="1" ht="18.75">
      <c r="A168" s="719"/>
      <c r="B168" s="719"/>
      <c r="C168" s="720"/>
      <c r="E168" s="719"/>
      <c r="H168" s="91"/>
    </row>
    <row r="169" spans="1:8" s="8" customFormat="1" ht="18.75">
      <c r="A169" s="719"/>
      <c r="B169" s="719"/>
      <c r="C169" s="720"/>
      <c r="E169" s="719"/>
      <c r="H169" s="91"/>
    </row>
    <row r="170" spans="1:8" s="8" customFormat="1" ht="18.75">
      <c r="A170" s="719"/>
      <c r="B170" s="719"/>
      <c r="C170" s="720"/>
      <c r="E170" s="719"/>
      <c r="H170" s="91"/>
    </row>
    <row r="171" spans="1:8" s="8" customFormat="1" ht="18.75">
      <c r="A171" s="719"/>
      <c r="B171" s="719"/>
      <c r="C171" s="720"/>
      <c r="E171" s="719"/>
      <c r="H171" s="91"/>
    </row>
    <row r="172" spans="1:8" s="8" customFormat="1" ht="18.75">
      <c r="A172" s="719"/>
      <c r="B172" s="719"/>
      <c r="C172" s="720"/>
      <c r="E172" s="719"/>
      <c r="H172" s="91"/>
    </row>
    <row r="173" spans="1:8" s="8" customFormat="1" ht="18.75">
      <c r="A173" s="719"/>
      <c r="B173" s="719"/>
      <c r="C173" s="720"/>
      <c r="E173" s="719"/>
      <c r="H173" s="91"/>
    </row>
    <row r="174" spans="1:8" s="8" customFormat="1" ht="18.75">
      <c r="A174" s="719"/>
      <c r="B174" s="719"/>
      <c r="C174" s="720"/>
      <c r="E174" s="719"/>
      <c r="H174" s="91"/>
    </row>
    <row r="175" spans="1:8" s="8" customFormat="1" ht="18.75">
      <c r="A175" s="719"/>
      <c r="B175" s="719"/>
      <c r="C175" s="720"/>
      <c r="E175" s="719"/>
      <c r="H175" s="91"/>
    </row>
    <row r="176" spans="1:8" s="8" customFormat="1" ht="18.75">
      <c r="A176" s="719"/>
      <c r="B176" s="719"/>
      <c r="C176" s="720"/>
      <c r="E176" s="719"/>
      <c r="H176" s="91"/>
    </row>
    <row r="177" spans="1:8" s="8" customFormat="1" ht="18.75">
      <c r="A177" s="719"/>
      <c r="B177" s="719"/>
      <c r="C177" s="720"/>
      <c r="E177" s="719"/>
      <c r="H177" s="91"/>
    </row>
    <row r="178" spans="1:8" s="8" customFormat="1" ht="18.75">
      <c r="A178" s="719"/>
      <c r="B178" s="719"/>
      <c r="C178" s="720"/>
      <c r="E178" s="719"/>
      <c r="H178" s="91"/>
    </row>
    <row r="179" spans="1:8" s="8" customFormat="1" ht="18.75">
      <c r="A179" s="719"/>
      <c r="B179" s="719"/>
      <c r="C179" s="720"/>
      <c r="E179" s="719"/>
      <c r="H179" s="91"/>
    </row>
    <row r="180" spans="1:8" s="8" customFormat="1" ht="18.75">
      <c r="A180" s="719"/>
      <c r="B180" s="719"/>
      <c r="C180" s="720"/>
      <c r="E180" s="719"/>
      <c r="H180" s="91"/>
    </row>
    <row r="181" spans="1:8" s="8" customFormat="1" ht="18.75">
      <c r="A181" s="719"/>
      <c r="B181" s="719"/>
      <c r="C181" s="720"/>
      <c r="E181" s="719"/>
      <c r="H181" s="91"/>
    </row>
    <row r="182" spans="1:8" s="8" customFormat="1" ht="18.75">
      <c r="A182" s="719"/>
      <c r="B182" s="719"/>
      <c r="C182" s="720"/>
      <c r="E182" s="719"/>
      <c r="H182" s="91"/>
    </row>
    <row r="183" spans="1:8" s="8" customFormat="1" ht="18.75">
      <c r="A183" s="719"/>
      <c r="B183" s="719"/>
      <c r="C183" s="720"/>
      <c r="E183" s="719"/>
      <c r="H183" s="91"/>
    </row>
    <row r="184" spans="1:8" s="8" customFormat="1" ht="18.75">
      <c r="A184" s="719"/>
      <c r="B184" s="719"/>
      <c r="C184" s="720"/>
      <c r="E184" s="719"/>
      <c r="H184" s="91"/>
    </row>
    <row r="185" spans="1:8" s="8" customFormat="1" ht="18.75">
      <c r="A185" s="719"/>
      <c r="B185" s="719"/>
      <c r="C185" s="720"/>
      <c r="E185" s="719"/>
      <c r="H185" s="91"/>
    </row>
    <row r="186" spans="1:8" s="8" customFormat="1" ht="18.75">
      <c r="A186" s="719"/>
      <c r="B186" s="719"/>
      <c r="C186" s="720"/>
      <c r="E186" s="719"/>
      <c r="H186" s="91"/>
    </row>
    <row r="187" spans="1:8" s="8" customFormat="1" ht="18.75">
      <c r="A187" s="707"/>
      <c r="B187" s="707"/>
      <c r="C187" s="715"/>
      <c r="D187" s="708"/>
      <c r="E187" s="707"/>
      <c r="F187" s="708"/>
      <c r="H187" s="91"/>
    </row>
    <row r="188" spans="1:8" s="8" customFormat="1" ht="18.75">
      <c r="A188" s="707"/>
      <c r="B188" s="707"/>
      <c r="C188" s="715"/>
      <c r="D188" s="708"/>
      <c r="E188" s="707"/>
      <c r="F188" s="708"/>
      <c r="H188" s="91"/>
    </row>
    <row r="189" spans="1:8" s="8" customFormat="1" ht="18.75">
      <c r="A189" s="707"/>
      <c r="B189" s="707"/>
      <c r="C189" s="715"/>
      <c r="D189" s="708"/>
      <c r="E189" s="707"/>
      <c r="F189" s="708"/>
      <c r="H189" s="91"/>
    </row>
    <row r="190" spans="1:8" s="8" customFormat="1" ht="18.75">
      <c r="A190" s="707"/>
      <c r="B190" s="707"/>
      <c r="C190" s="715"/>
      <c r="D190" s="708"/>
      <c r="E190" s="707"/>
      <c r="F190" s="708"/>
      <c r="H190" s="91"/>
    </row>
    <row r="191" spans="1:8" s="8" customFormat="1" ht="18.75">
      <c r="A191" s="707"/>
      <c r="B191" s="707"/>
      <c r="C191" s="715"/>
      <c r="D191" s="708"/>
      <c r="E191" s="707"/>
      <c r="F191" s="708"/>
      <c r="H191" s="91"/>
    </row>
    <row r="192" spans="1:8" s="8" customFormat="1" ht="18.75">
      <c r="A192" s="707"/>
      <c r="B192" s="707"/>
      <c r="C192" s="715"/>
      <c r="D192" s="708"/>
      <c r="E192" s="707"/>
      <c r="F192" s="708"/>
      <c r="H192" s="91"/>
    </row>
    <row r="193" spans="1:8" s="8" customFormat="1" ht="18.75">
      <c r="A193" s="707"/>
      <c r="B193" s="707"/>
      <c r="C193" s="715"/>
      <c r="D193" s="708"/>
      <c r="E193" s="707"/>
      <c r="F193" s="708"/>
      <c r="H193" s="91"/>
    </row>
    <row r="194" spans="1:8" s="8" customFormat="1" ht="18.75">
      <c r="A194" s="707"/>
      <c r="B194" s="707"/>
      <c r="C194" s="715"/>
      <c r="D194" s="708"/>
      <c r="E194" s="707"/>
      <c r="F194" s="708"/>
      <c r="H194" s="91"/>
    </row>
    <row r="195" spans="1:8" s="8" customFormat="1" ht="18.75">
      <c r="A195" s="707"/>
      <c r="B195" s="707"/>
      <c r="C195" s="715"/>
      <c r="D195" s="708"/>
      <c r="E195" s="707"/>
      <c r="F195" s="708"/>
      <c r="H195" s="91"/>
    </row>
    <row r="196" spans="1:8" s="8" customFormat="1" ht="18.75">
      <c r="A196" s="707"/>
      <c r="B196" s="707"/>
      <c r="C196" s="715"/>
      <c r="D196" s="708"/>
      <c r="E196" s="707"/>
      <c r="F196" s="708"/>
      <c r="H196" s="91"/>
    </row>
    <row r="197" spans="1:8" s="8" customFormat="1" ht="18.75">
      <c r="A197" s="707"/>
      <c r="B197" s="707"/>
      <c r="C197" s="715"/>
      <c r="D197" s="708"/>
      <c r="E197" s="707"/>
      <c r="F197" s="708"/>
      <c r="H197" s="91"/>
    </row>
    <row r="198" spans="1:8" s="8" customFormat="1" ht="18.75">
      <c r="A198" s="707"/>
      <c r="B198" s="707"/>
      <c r="C198" s="715"/>
      <c r="D198" s="708"/>
      <c r="E198" s="707"/>
      <c r="F198" s="708"/>
      <c r="H198" s="91"/>
    </row>
    <row r="199" spans="1:8" s="8" customFormat="1" ht="18.75">
      <c r="A199" s="707"/>
      <c r="B199" s="707"/>
      <c r="C199" s="715"/>
      <c r="D199" s="708"/>
      <c r="E199" s="707"/>
      <c r="F199" s="708"/>
      <c r="H199" s="91"/>
    </row>
    <row r="200" spans="1:8" s="8" customFormat="1" ht="18.75">
      <c r="A200" s="707"/>
      <c r="B200" s="707"/>
      <c r="C200" s="715"/>
      <c r="D200" s="708"/>
      <c r="E200" s="707"/>
      <c r="F200" s="708"/>
      <c r="H200" s="91"/>
    </row>
    <row r="201" spans="1:8" s="8" customFormat="1" ht="18.75">
      <c r="A201" s="707"/>
      <c r="B201" s="707"/>
      <c r="C201" s="715"/>
      <c r="D201" s="708"/>
      <c r="E201" s="707"/>
      <c r="F201" s="708"/>
      <c r="H201" s="91"/>
    </row>
    <row r="202" spans="1:8" s="8" customFormat="1" ht="18.75">
      <c r="A202" s="707"/>
      <c r="B202" s="707"/>
      <c r="C202" s="715"/>
      <c r="D202" s="708"/>
      <c r="E202" s="707"/>
      <c r="F202" s="708"/>
      <c r="H202" s="91"/>
    </row>
    <row r="203" spans="1:8" s="8" customFormat="1" ht="18.75">
      <c r="A203" s="707"/>
      <c r="B203" s="707"/>
      <c r="C203" s="715"/>
      <c r="D203" s="708"/>
      <c r="E203" s="707"/>
      <c r="F203" s="708"/>
      <c r="H203" s="91"/>
    </row>
    <row r="204" spans="1:8" s="8" customFormat="1" ht="18.75">
      <c r="A204" s="707"/>
      <c r="B204" s="707"/>
      <c r="C204" s="715"/>
      <c r="D204" s="708"/>
      <c r="E204" s="707"/>
      <c r="F204" s="708"/>
      <c r="H204" s="91"/>
    </row>
    <row r="205" spans="1:8" s="8" customFormat="1" ht="18.75">
      <c r="A205" s="707"/>
      <c r="B205" s="707"/>
      <c r="C205" s="715"/>
      <c r="D205" s="708"/>
      <c r="E205" s="707"/>
      <c r="F205" s="708"/>
      <c r="H205" s="91"/>
    </row>
    <row r="206" spans="1:8" s="8" customFormat="1" ht="18.75">
      <c r="A206" s="707"/>
      <c r="B206" s="707"/>
      <c r="C206" s="715"/>
      <c r="D206" s="708"/>
      <c r="E206" s="707"/>
      <c r="F206" s="708"/>
      <c r="H206" s="91"/>
    </row>
    <row r="207" spans="1:8" s="8" customFormat="1" ht="18.75">
      <c r="A207" s="707"/>
      <c r="B207" s="707"/>
      <c r="C207" s="715"/>
      <c r="D207" s="708"/>
      <c r="E207" s="707"/>
      <c r="F207" s="708"/>
      <c r="H207" s="91"/>
    </row>
    <row r="208" spans="1:8" s="8" customFormat="1" ht="18.75">
      <c r="A208" s="707"/>
      <c r="B208" s="707"/>
      <c r="C208" s="715"/>
      <c r="D208" s="708"/>
      <c r="E208" s="707"/>
      <c r="F208" s="708"/>
      <c r="H208" s="91"/>
    </row>
    <row r="209" spans="1:8" s="8" customFormat="1" ht="18.75">
      <c r="A209" s="707"/>
      <c r="B209" s="707"/>
      <c r="C209" s="715"/>
      <c r="D209" s="708"/>
      <c r="E209" s="707"/>
      <c r="F209" s="708"/>
      <c r="H209" s="91"/>
    </row>
    <row r="210" spans="1:8" s="8" customFormat="1" ht="18.75">
      <c r="A210" s="707"/>
      <c r="B210" s="707"/>
      <c r="C210" s="715"/>
      <c r="D210" s="708"/>
      <c r="E210" s="707"/>
      <c r="F210" s="708"/>
      <c r="H210" s="91"/>
    </row>
    <row r="211" spans="1:8" s="8" customFormat="1" ht="18.75">
      <c r="A211" s="707"/>
      <c r="B211" s="707"/>
      <c r="C211" s="715"/>
      <c r="D211" s="708"/>
      <c r="E211" s="707"/>
      <c r="F211" s="708"/>
      <c r="H211" s="91"/>
    </row>
    <row r="212" spans="1:8" s="8" customFormat="1" ht="18.75">
      <c r="A212" s="707"/>
      <c r="B212" s="707"/>
      <c r="C212" s="715"/>
      <c r="D212" s="708"/>
      <c r="E212" s="707"/>
      <c r="F212" s="708"/>
      <c r="H212" s="91"/>
    </row>
    <row r="213" spans="1:8" s="8" customFormat="1" ht="18.75">
      <c r="A213" s="707"/>
      <c r="B213" s="707"/>
      <c r="C213" s="715"/>
      <c r="D213" s="708"/>
      <c r="E213" s="707"/>
      <c r="F213" s="708"/>
      <c r="H213" s="91"/>
    </row>
    <row r="214" spans="1:8" s="8" customFormat="1" ht="18.75">
      <c r="A214" s="707"/>
      <c r="B214" s="707"/>
      <c r="C214" s="715"/>
      <c r="D214" s="708"/>
      <c r="E214" s="707"/>
      <c r="F214" s="708"/>
      <c r="H214" s="91"/>
    </row>
    <row r="215" spans="1:8" s="8" customFormat="1" ht="18.75">
      <c r="A215" s="707"/>
      <c r="B215" s="707"/>
      <c r="C215" s="715"/>
      <c r="D215" s="708"/>
      <c r="E215" s="707"/>
      <c r="F215" s="708"/>
      <c r="H215" s="91"/>
    </row>
    <row r="216" spans="1:8" s="8" customFormat="1" ht="18.75">
      <c r="A216" s="707"/>
      <c r="B216" s="707"/>
      <c r="C216" s="715"/>
      <c r="D216" s="708"/>
      <c r="E216" s="707"/>
      <c r="F216" s="708"/>
      <c r="H216" s="91"/>
    </row>
    <row r="217" spans="1:8" s="8" customFormat="1" ht="18.75">
      <c r="A217" s="707"/>
      <c r="B217" s="707"/>
      <c r="C217" s="715"/>
      <c r="D217" s="708"/>
      <c r="E217" s="707"/>
      <c r="F217" s="708"/>
      <c r="H217" s="91"/>
    </row>
    <row r="218" spans="1:8" s="8" customFormat="1" ht="18.75">
      <c r="A218" s="707"/>
      <c r="B218" s="707"/>
      <c r="C218" s="715"/>
      <c r="D218" s="708"/>
      <c r="E218" s="707"/>
      <c r="F218" s="708"/>
      <c r="H218" s="91"/>
    </row>
    <row r="219" spans="1:8" s="8" customFormat="1" ht="18.75">
      <c r="A219" s="707"/>
      <c r="B219" s="707"/>
      <c r="C219" s="715"/>
      <c r="D219" s="708"/>
      <c r="E219" s="707"/>
      <c r="F219" s="708"/>
      <c r="H219" s="91"/>
    </row>
    <row r="220" spans="1:8" s="8" customFormat="1" ht="18.75">
      <c r="A220" s="707"/>
      <c r="B220" s="707"/>
      <c r="C220" s="715"/>
      <c r="D220" s="708"/>
      <c r="E220" s="707"/>
      <c r="F220" s="708"/>
      <c r="H220" s="91"/>
    </row>
    <row r="221" spans="1:8" s="8" customFormat="1" ht="18.75">
      <c r="A221" s="707"/>
      <c r="B221" s="707"/>
      <c r="C221" s="715"/>
      <c r="D221" s="708"/>
      <c r="E221" s="707"/>
      <c r="F221" s="708"/>
      <c r="H221" s="91"/>
    </row>
    <row r="222" spans="1:8" s="8" customFormat="1" ht="18.75">
      <c r="A222" s="707"/>
      <c r="B222" s="707"/>
      <c r="C222" s="715"/>
      <c r="D222" s="708"/>
      <c r="E222" s="707"/>
      <c r="F222" s="708"/>
      <c r="H222" s="91"/>
    </row>
    <row r="223" spans="1:8" s="8" customFormat="1" ht="18.75">
      <c r="A223" s="707"/>
      <c r="B223" s="707"/>
      <c r="C223" s="715"/>
      <c r="D223" s="708"/>
      <c r="E223" s="707"/>
      <c r="F223" s="708"/>
      <c r="H223" s="91"/>
    </row>
    <row r="224" spans="1:8" s="8" customFormat="1" ht="18.75">
      <c r="A224" s="707"/>
      <c r="B224" s="707"/>
      <c r="C224" s="715"/>
      <c r="D224" s="708"/>
      <c r="E224" s="707"/>
      <c r="F224" s="708"/>
      <c r="H224" s="91"/>
    </row>
    <row r="225" spans="1:8" s="8" customFormat="1" ht="18.75">
      <c r="A225" s="707"/>
      <c r="B225" s="707"/>
      <c r="C225" s="715"/>
      <c r="D225" s="708"/>
      <c r="E225" s="707"/>
      <c r="F225" s="708"/>
      <c r="H225" s="91"/>
    </row>
    <row r="226" spans="1:8" s="8" customFormat="1" ht="18.75">
      <c r="A226" s="707"/>
      <c r="B226" s="707"/>
      <c r="C226" s="715"/>
      <c r="D226" s="708"/>
      <c r="E226" s="707"/>
      <c r="F226" s="708"/>
      <c r="H226" s="91"/>
    </row>
    <row r="227" spans="1:8" s="8" customFormat="1" ht="18.75">
      <c r="A227" s="707"/>
      <c r="B227" s="707"/>
      <c r="C227" s="715"/>
      <c r="D227" s="708"/>
      <c r="E227" s="707"/>
      <c r="F227" s="708"/>
      <c r="H227" s="91"/>
    </row>
    <row r="228" spans="1:8" s="8" customFormat="1" ht="18.75">
      <c r="A228" s="707"/>
      <c r="B228" s="707"/>
      <c r="C228" s="715"/>
      <c r="D228" s="708"/>
      <c r="E228" s="707"/>
      <c r="F228" s="708"/>
      <c r="H228" s="91"/>
    </row>
    <row r="229" spans="1:8" s="8" customFormat="1" ht="18.75">
      <c r="A229" s="707"/>
      <c r="B229" s="707"/>
      <c r="C229" s="715"/>
      <c r="D229" s="708"/>
      <c r="E229" s="707"/>
      <c r="F229" s="708"/>
      <c r="H229" s="91"/>
    </row>
    <row r="230" spans="1:8" s="8" customFormat="1" ht="18.75">
      <c r="A230" s="707"/>
      <c r="B230" s="707"/>
      <c r="C230" s="715"/>
      <c r="D230" s="708"/>
      <c r="E230" s="707"/>
      <c r="F230" s="708"/>
      <c r="H230" s="91"/>
    </row>
    <row r="231" spans="1:8" s="8" customFormat="1" ht="18.75">
      <c r="A231" s="707"/>
      <c r="B231" s="707"/>
      <c r="C231" s="715"/>
      <c r="D231" s="708"/>
      <c r="E231" s="707"/>
      <c r="F231" s="708"/>
      <c r="H231" s="91"/>
    </row>
    <row r="232" spans="1:8" s="8" customFormat="1" ht="18.75">
      <c r="A232" s="707"/>
      <c r="B232" s="707"/>
      <c r="C232" s="715"/>
      <c r="D232" s="708"/>
      <c r="E232" s="707"/>
      <c r="F232" s="708"/>
      <c r="H232" s="91"/>
    </row>
    <row r="233" spans="1:8" s="8" customFormat="1" ht="18.75">
      <c r="A233" s="707"/>
      <c r="B233" s="707"/>
      <c r="C233" s="715"/>
      <c r="D233" s="708"/>
      <c r="E233" s="707"/>
      <c r="F233" s="708"/>
      <c r="H233" s="91"/>
    </row>
    <row r="234" spans="1:8" s="8" customFormat="1" ht="18.75">
      <c r="A234" s="707"/>
      <c r="B234" s="707"/>
      <c r="C234" s="715"/>
      <c r="D234" s="708"/>
      <c r="E234" s="707"/>
      <c r="F234" s="708"/>
      <c r="H234" s="91"/>
    </row>
    <row r="235" spans="1:8" s="8" customFormat="1" ht="18.75">
      <c r="A235" s="707"/>
      <c r="B235" s="707"/>
      <c r="C235" s="715"/>
      <c r="D235" s="708"/>
      <c r="E235" s="707"/>
      <c r="F235" s="708"/>
      <c r="H235" s="91"/>
    </row>
    <row r="236" spans="1:8" s="8" customFormat="1" ht="18.75">
      <c r="A236" s="707"/>
      <c r="B236" s="707"/>
      <c r="C236" s="715"/>
      <c r="D236" s="708"/>
      <c r="E236" s="707"/>
      <c r="F236" s="708"/>
      <c r="H236" s="91"/>
    </row>
    <row r="237" spans="1:8" s="8" customFormat="1" ht="18.75">
      <c r="A237" s="707"/>
      <c r="B237" s="707"/>
      <c r="C237" s="715"/>
      <c r="D237" s="708"/>
      <c r="E237" s="707"/>
      <c r="F237" s="708"/>
      <c r="H237" s="91"/>
    </row>
    <row r="238" spans="1:8" s="8" customFormat="1" ht="18.75">
      <c r="A238" s="707"/>
      <c r="B238" s="707"/>
      <c r="C238" s="715"/>
      <c r="D238" s="708"/>
      <c r="E238" s="707"/>
      <c r="F238" s="708"/>
      <c r="H238" s="91"/>
    </row>
    <row r="239" spans="1:8" s="8" customFormat="1" ht="18.75">
      <c r="A239" s="707"/>
      <c r="B239" s="707"/>
      <c r="C239" s="715"/>
      <c r="D239" s="708"/>
      <c r="E239" s="707"/>
      <c r="F239" s="708"/>
      <c r="H239" s="91"/>
    </row>
    <row r="240" spans="1:8" s="8" customFormat="1" ht="18.75">
      <c r="A240" s="707"/>
      <c r="B240" s="707"/>
      <c r="C240" s="715"/>
      <c r="D240" s="708"/>
      <c r="E240" s="707"/>
      <c r="F240" s="708"/>
      <c r="H240" s="91"/>
    </row>
    <row r="241" spans="1:8" s="8" customFormat="1" ht="18.75">
      <c r="A241" s="707"/>
      <c r="B241" s="707"/>
      <c r="C241" s="715"/>
      <c r="D241" s="708"/>
      <c r="E241" s="707"/>
      <c r="F241" s="708"/>
      <c r="H241" s="91"/>
    </row>
    <row r="242" spans="1:8" s="8" customFormat="1" ht="18.75">
      <c r="A242" s="707"/>
      <c r="B242" s="707"/>
      <c r="C242" s="715"/>
      <c r="D242" s="708"/>
      <c r="E242" s="707"/>
      <c r="F242" s="708"/>
      <c r="H242" s="91"/>
    </row>
    <row r="243" spans="1:8" s="8" customFormat="1" ht="18.75">
      <c r="A243" s="707"/>
      <c r="B243" s="707"/>
      <c r="C243" s="715"/>
      <c r="D243" s="708"/>
      <c r="E243" s="707"/>
      <c r="F243" s="708"/>
      <c r="H243" s="91"/>
    </row>
    <row r="244" ht="18.75">
      <c r="G244" s="708"/>
    </row>
  </sheetData>
  <sheetProtection/>
  <printOptions/>
  <pageMargins left="0.44" right="0.32" top="0.43" bottom="0.38" header="0.5"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indexed="14"/>
  </sheetPr>
  <dimension ref="A1:AY108"/>
  <sheetViews>
    <sheetView zoomScalePageLayoutView="0" workbookViewId="0" topLeftCell="A1">
      <pane xSplit="1" ySplit="3" topLeftCell="B13" activePane="bottomRight" state="frozen"/>
      <selection pane="topLeft" activeCell="A1" sqref="A1"/>
      <selection pane="topRight" activeCell="B1" sqref="B1"/>
      <selection pane="bottomLeft" activeCell="A4" sqref="A4"/>
      <selection pane="bottomRight" activeCell="A17" sqref="A17"/>
    </sheetView>
  </sheetViews>
  <sheetFormatPr defaultColWidth="9.140625" defaultRowHeight="15.75" customHeight="1"/>
  <cols>
    <col min="1" max="1" width="26.57421875" style="8" customWidth="1"/>
    <col min="2" max="2" width="4.421875" style="8" customWidth="1"/>
    <col min="3" max="3" width="8.140625" style="327" customWidth="1"/>
    <col min="4" max="4" width="4.140625" style="8" customWidth="1"/>
    <col min="5" max="5" width="8.00390625" style="327" customWidth="1"/>
    <col min="6" max="6" width="4.28125" style="8" customWidth="1"/>
    <col min="7" max="7" width="6.421875" style="327" customWidth="1"/>
    <col min="8" max="8" width="4.00390625" style="8" customWidth="1"/>
    <col min="9" max="9" width="8.00390625" style="327" customWidth="1"/>
    <col min="10" max="10" width="3.421875" style="8" customWidth="1"/>
    <col min="11" max="11" width="6.421875" style="327" customWidth="1"/>
    <col min="12" max="12" width="3.8515625" style="8" customWidth="1"/>
    <col min="13" max="13" width="8.28125" style="320" customWidth="1"/>
    <col min="14" max="14" width="4.8515625" style="101" customWidth="1"/>
    <col min="15" max="15" width="5.7109375" style="320" customWidth="1"/>
    <col min="16" max="16" width="4.140625" style="8" customWidth="1"/>
    <col min="17" max="17" width="8.140625" style="327" customWidth="1"/>
    <col min="18" max="18" width="4.421875" style="8" customWidth="1"/>
    <col min="19" max="19" width="8.28125" style="327" customWidth="1"/>
    <col min="20" max="20" width="5.421875" style="8" customWidth="1"/>
    <col min="21" max="21" width="9.28125" style="327" customWidth="1"/>
    <col min="22" max="22" width="11.00390625" style="0" customWidth="1"/>
    <col min="23" max="23" width="5.421875" style="0" customWidth="1"/>
    <col min="24" max="24" width="9.421875" style="0" customWidth="1"/>
    <col min="25" max="25" width="5.8515625" style="0" customWidth="1"/>
    <col min="26" max="26" width="16.28125" style="0" customWidth="1"/>
    <col min="27" max="27" width="5.00390625" style="0" customWidth="1"/>
    <col min="28" max="28" width="8.00390625" style="0" customWidth="1"/>
    <col min="29" max="29" width="4.7109375" style="0" customWidth="1"/>
    <col min="30" max="30" width="7.57421875" style="0" customWidth="1"/>
    <col min="31" max="31" width="4.421875" style="0" customWidth="1"/>
    <col min="32" max="32" width="7.00390625" style="0" customWidth="1"/>
    <col min="33" max="33" width="4.8515625" style="0" customWidth="1"/>
    <col min="34" max="34" width="7.140625" style="0" customWidth="1"/>
    <col min="35" max="35" width="4.8515625" style="0" customWidth="1"/>
    <col min="36" max="36" width="7.28125" style="0" customWidth="1"/>
    <col min="37" max="37" width="4.421875" style="0" customWidth="1"/>
    <col min="38" max="38" width="7.00390625" style="0" customWidth="1"/>
    <col min="39" max="39" width="4.57421875" style="0" customWidth="1"/>
    <col min="41" max="41" width="4.57421875" style="0" customWidth="1"/>
    <col min="42" max="42" width="7.7109375" style="0" customWidth="1"/>
    <col min="43" max="43" width="4.7109375" style="0" customWidth="1"/>
    <col min="44" max="44" width="6.57421875" style="0" customWidth="1"/>
    <col min="45" max="45" width="5.28125" style="0" customWidth="1"/>
    <col min="48" max="48" width="5.57421875" style="0" customWidth="1"/>
    <col min="52" max="16384" width="9.140625" style="8" customWidth="1"/>
  </cols>
  <sheetData>
    <row r="1" spans="1:21" ht="27.75" customHeight="1" thickBot="1">
      <c r="A1" s="190"/>
      <c r="C1" s="320"/>
      <c r="H1" s="101"/>
      <c r="I1" s="320"/>
      <c r="P1" s="101"/>
      <c r="S1" s="331"/>
      <c r="T1" s="124"/>
      <c r="U1" s="1123" t="s">
        <v>483</v>
      </c>
    </row>
    <row r="2" spans="1:21" ht="74.25" customHeight="1" thickBot="1">
      <c r="A2" s="1204" t="s">
        <v>473</v>
      </c>
      <c r="B2" s="1206" t="s">
        <v>50</v>
      </c>
      <c r="C2" s="1206"/>
      <c r="D2" s="1207" t="s">
        <v>111</v>
      </c>
      <c r="E2" s="1207"/>
      <c r="F2" s="1207" t="s">
        <v>53</v>
      </c>
      <c r="G2" s="1207"/>
      <c r="H2" s="1209" t="s">
        <v>56</v>
      </c>
      <c r="I2" s="1209"/>
      <c r="J2" s="1207" t="s">
        <v>57</v>
      </c>
      <c r="K2" s="1207"/>
      <c r="L2" s="1210" t="s">
        <v>58</v>
      </c>
      <c r="M2" s="1210"/>
      <c r="N2" s="1209" t="s">
        <v>59</v>
      </c>
      <c r="O2" s="1209"/>
      <c r="P2" s="1209" t="s">
        <v>60</v>
      </c>
      <c r="Q2" s="1209"/>
      <c r="R2" s="1209" t="s">
        <v>62</v>
      </c>
      <c r="S2" s="1209"/>
      <c r="T2" s="1208" t="s">
        <v>481</v>
      </c>
      <c r="U2" s="1208"/>
    </row>
    <row r="3" spans="1:51" s="125" customFormat="1" ht="28.5" customHeight="1" thickBot="1">
      <c r="A3" s="1205"/>
      <c r="B3" s="1121" t="s">
        <v>474</v>
      </c>
      <c r="C3" s="1122" t="s">
        <v>475</v>
      </c>
      <c r="D3" s="1121" t="s">
        <v>474</v>
      </c>
      <c r="E3" s="1122" t="s">
        <v>475</v>
      </c>
      <c r="F3" s="1121" t="s">
        <v>474</v>
      </c>
      <c r="G3" s="1122" t="s">
        <v>475</v>
      </c>
      <c r="H3" s="1121" t="s">
        <v>474</v>
      </c>
      <c r="I3" s="1122" t="s">
        <v>475</v>
      </c>
      <c r="J3" s="1121" t="s">
        <v>474</v>
      </c>
      <c r="K3" s="1122" t="s">
        <v>475</v>
      </c>
      <c r="L3" s="1121" t="s">
        <v>474</v>
      </c>
      <c r="M3" s="1122" t="s">
        <v>475</v>
      </c>
      <c r="N3" s="1121" t="s">
        <v>474</v>
      </c>
      <c r="O3" s="1122" t="s">
        <v>475</v>
      </c>
      <c r="P3" s="1121" t="s">
        <v>474</v>
      </c>
      <c r="Q3" s="1122" t="s">
        <v>475</v>
      </c>
      <c r="R3" s="1121" t="s">
        <v>474</v>
      </c>
      <c r="S3" s="1122" t="s">
        <v>475</v>
      </c>
      <c r="T3" s="1121" t="s">
        <v>474</v>
      </c>
      <c r="U3" s="1122" t="s">
        <v>475</v>
      </c>
      <c r="V3"/>
      <c r="W3"/>
      <c r="X3"/>
      <c r="Y3"/>
      <c r="Z3"/>
      <c r="AA3"/>
      <c r="AB3"/>
      <c r="AC3"/>
      <c r="AD3"/>
      <c r="AE3"/>
      <c r="AF3"/>
      <c r="AG3"/>
      <c r="AH3"/>
      <c r="AI3"/>
      <c r="AJ3"/>
      <c r="AK3"/>
      <c r="AL3"/>
      <c r="AM3"/>
      <c r="AN3"/>
      <c r="AO3"/>
      <c r="AP3"/>
      <c r="AQ3"/>
      <c r="AR3"/>
      <c r="AS3"/>
      <c r="AT3"/>
      <c r="AU3"/>
      <c r="AV3"/>
      <c r="AW3"/>
      <c r="AX3"/>
      <c r="AY3"/>
    </row>
    <row r="4" spans="1:51" s="125" customFormat="1" ht="23.25" customHeight="1">
      <c r="A4" s="1094" t="s">
        <v>480</v>
      </c>
      <c r="B4" s="127"/>
      <c r="C4" s="321"/>
      <c r="D4" s="127"/>
      <c r="E4" s="328"/>
      <c r="F4" s="127"/>
      <c r="G4" s="328"/>
      <c r="H4" s="128"/>
      <c r="I4" s="328"/>
      <c r="J4" s="127"/>
      <c r="K4" s="328"/>
      <c r="L4" s="127"/>
      <c r="M4" s="328"/>
      <c r="N4" s="128"/>
      <c r="O4" s="328"/>
      <c r="P4" s="127"/>
      <c r="Q4" s="328"/>
      <c r="R4" s="128"/>
      <c r="S4" s="328"/>
      <c r="T4" s="126"/>
      <c r="U4" s="332"/>
      <c r="V4"/>
      <c r="W4"/>
      <c r="X4"/>
      <c r="Y4"/>
      <c r="Z4"/>
      <c r="AA4"/>
      <c r="AB4"/>
      <c r="AC4"/>
      <c r="AD4"/>
      <c r="AE4"/>
      <c r="AF4"/>
      <c r="AG4"/>
      <c r="AH4"/>
      <c r="AI4"/>
      <c r="AJ4"/>
      <c r="AK4"/>
      <c r="AL4"/>
      <c r="AM4"/>
      <c r="AN4"/>
      <c r="AO4"/>
      <c r="AP4"/>
      <c r="AQ4"/>
      <c r="AR4"/>
      <c r="AS4"/>
      <c r="AT4"/>
      <c r="AU4"/>
      <c r="AV4"/>
      <c r="AW4"/>
      <c r="AX4"/>
      <c r="AY4"/>
    </row>
    <row r="5" spans="1:51" s="125" customFormat="1" ht="19.5" customHeight="1">
      <c r="A5" s="129" t="s">
        <v>65</v>
      </c>
      <c r="B5" s="174">
        <v>17</v>
      </c>
      <c r="C5" s="322">
        <v>1028.4</v>
      </c>
      <c r="D5" s="174">
        <v>1</v>
      </c>
      <c r="E5" s="322">
        <v>104.1</v>
      </c>
      <c r="F5" s="174">
        <v>3</v>
      </c>
      <c r="G5" s="322">
        <v>250.9</v>
      </c>
      <c r="H5" s="174">
        <v>4</v>
      </c>
      <c r="I5" s="322">
        <v>98</v>
      </c>
      <c r="J5" s="174"/>
      <c r="K5" s="322"/>
      <c r="L5" s="174"/>
      <c r="M5" s="322">
        <f>13.4+17.2+172.7</f>
        <v>203.29999999999998</v>
      </c>
      <c r="N5" s="174"/>
      <c r="O5" s="322"/>
      <c r="P5" s="174">
        <v>8</v>
      </c>
      <c r="Q5" s="322">
        <v>244</v>
      </c>
      <c r="R5" s="174"/>
      <c r="S5" s="322"/>
      <c r="T5" s="176">
        <f aca="true" t="shared" si="0" ref="T5:U8">SUM(B5,J5,F5,N5,D5,H5,L5,P5,R5)</f>
        <v>33</v>
      </c>
      <c r="U5" s="823">
        <f t="shared" si="0"/>
        <v>1928.7</v>
      </c>
      <c r="V5"/>
      <c r="W5"/>
      <c r="X5"/>
      <c r="Y5"/>
      <c r="Z5"/>
      <c r="AA5"/>
      <c r="AB5"/>
      <c r="AC5"/>
      <c r="AD5"/>
      <c r="AE5"/>
      <c r="AF5"/>
      <c r="AG5"/>
      <c r="AH5"/>
      <c r="AI5"/>
      <c r="AJ5"/>
      <c r="AK5"/>
      <c r="AL5"/>
      <c r="AM5"/>
      <c r="AN5"/>
      <c r="AO5"/>
      <c r="AP5"/>
      <c r="AQ5"/>
      <c r="AR5"/>
      <c r="AS5"/>
      <c r="AT5"/>
      <c r="AU5"/>
      <c r="AV5"/>
      <c r="AW5"/>
      <c r="AX5"/>
      <c r="AY5"/>
    </row>
    <row r="6" spans="1:51" s="125" customFormat="1" ht="19.5" customHeight="1">
      <c r="A6" s="129" t="s">
        <v>66</v>
      </c>
      <c r="B6" s="174">
        <v>25</v>
      </c>
      <c r="C6" s="322">
        <f>1294+841.5</f>
        <v>2135.5</v>
      </c>
      <c r="D6" s="174">
        <v>2</v>
      </c>
      <c r="E6" s="322">
        <v>207.4</v>
      </c>
      <c r="F6" s="174"/>
      <c r="G6" s="322"/>
      <c r="H6" s="174">
        <v>7</v>
      </c>
      <c r="I6" s="322">
        <f>348.6+345.8</f>
        <v>694.4000000000001</v>
      </c>
      <c r="J6" s="174">
        <v>5</v>
      </c>
      <c r="K6" s="322">
        <f>188+51.5</f>
        <v>239.5</v>
      </c>
      <c r="L6" s="174"/>
      <c r="M6" s="322">
        <f>13.4+17.2</f>
        <v>30.6</v>
      </c>
      <c r="N6" s="174"/>
      <c r="O6" s="322"/>
      <c r="P6" s="174">
        <v>6</v>
      </c>
      <c r="Q6" s="322">
        <v>253.2</v>
      </c>
      <c r="R6" s="174">
        <v>4</v>
      </c>
      <c r="S6" s="322">
        <v>159.6</v>
      </c>
      <c r="T6" s="176">
        <f t="shared" si="0"/>
        <v>49</v>
      </c>
      <c r="U6" s="823">
        <f t="shared" si="0"/>
        <v>3720.2</v>
      </c>
      <c r="V6"/>
      <c r="W6"/>
      <c r="X6"/>
      <c r="Y6"/>
      <c r="Z6"/>
      <c r="AA6"/>
      <c r="AB6"/>
      <c r="AC6"/>
      <c r="AD6"/>
      <c r="AE6"/>
      <c r="AF6"/>
      <c r="AG6"/>
      <c r="AH6"/>
      <c r="AI6"/>
      <c r="AJ6"/>
      <c r="AK6"/>
      <c r="AL6"/>
      <c r="AM6"/>
      <c r="AN6"/>
      <c r="AO6"/>
      <c r="AP6"/>
      <c r="AQ6"/>
      <c r="AR6"/>
      <c r="AS6"/>
      <c r="AT6"/>
      <c r="AU6"/>
      <c r="AV6"/>
      <c r="AW6"/>
      <c r="AX6"/>
      <c r="AY6"/>
    </row>
    <row r="7" spans="1:51" s="125" customFormat="1" ht="19.5" customHeight="1">
      <c r="A7" s="129" t="s">
        <v>67</v>
      </c>
      <c r="B7" s="174">
        <v>23</v>
      </c>
      <c r="C7" s="322">
        <v>1627.1</v>
      </c>
      <c r="D7" s="174">
        <v>2</v>
      </c>
      <c r="E7" s="322">
        <v>210.8</v>
      </c>
      <c r="F7" s="174">
        <v>2</v>
      </c>
      <c r="G7" s="322">
        <v>171.6</v>
      </c>
      <c r="H7" s="174">
        <v>5</v>
      </c>
      <c r="I7" s="322">
        <v>180.6</v>
      </c>
      <c r="J7" s="174"/>
      <c r="K7" s="322"/>
      <c r="L7" s="174">
        <v>2</v>
      </c>
      <c r="M7" s="322">
        <f>90.2+13.4+17.2</f>
        <v>120.80000000000001</v>
      </c>
      <c r="N7" s="174">
        <v>0</v>
      </c>
      <c r="O7" s="322">
        <v>60.4</v>
      </c>
      <c r="P7" s="174">
        <v>7</v>
      </c>
      <c r="Q7" s="322">
        <v>233</v>
      </c>
      <c r="R7" s="174">
        <v>4</v>
      </c>
      <c r="S7" s="322">
        <v>160.4</v>
      </c>
      <c r="T7" s="176">
        <f t="shared" si="0"/>
        <v>45</v>
      </c>
      <c r="U7" s="823">
        <f t="shared" si="0"/>
        <v>2764.7000000000003</v>
      </c>
      <c r="V7"/>
      <c r="W7"/>
      <c r="X7"/>
      <c r="Y7"/>
      <c r="Z7"/>
      <c r="AA7"/>
      <c r="AB7"/>
      <c r="AC7"/>
      <c r="AD7"/>
      <c r="AE7"/>
      <c r="AF7"/>
      <c r="AG7"/>
      <c r="AH7"/>
      <c r="AI7"/>
      <c r="AJ7"/>
      <c r="AK7"/>
      <c r="AL7"/>
      <c r="AM7"/>
      <c r="AN7"/>
      <c r="AO7"/>
      <c r="AP7"/>
      <c r="AQ7"/>
      <c r="AR7"/>
      <c r="AS7"/>
      <c r="AT7"/>
      <c r="AU7"/>
      <c r="AV7"/>
      <c r="AW7"/>
      <c r="AX7"/>
      <c r="AY7"/>
    </row>
    <row r="8" spans="1:51" s="125" customFormat="1" ht="19.5" customHeight="1">
      <c r="A8" s="130" t="s">
        <v>68</v>
      </c>
      <c r="B8" s="335">
        <v>16</v>
      </c>
      <c r="C8" s="336">
        <v>976.5</v>
      </c>
      <c r="D8" s="335">
        <v>8</v>
      </c>
      <c r="E8" s="336">
        <f>631.3+509.2</f>
        <v>1140.5</v>
      </c>
      <c r="F8" s="335"/>
      <c r="G8" s="336"/>
      <c r="H8" s="335">
        <v>4</v>
      </c>
      <c r="I8" s="336">
        <v>275.5</v>
      </c>
      <c r="J8" s="335"/>
      <c r="K8" s="336"/>
      <c r="L8" s="335"/>
      <c r="M8" s="336">
        <f>22.8+13.5+17.2</f>
        <v>53.5</v>
      </c>
      <c r="N8" s="335"/>
      <c r="O8" s="336"/>
      <c r="P8" s="335">
        <v>5</v>
      </c>
      <c r="Q8" s="336">
        <v>211</v>
      </c>
      <c r="R8" s="335">
        <v>3</v>
      </c>
      <c r="S8" s="336">
        <v>131.2</v>
      </c>
      <c r="T8" s="337">
        <f t="shared" si="0"/>
        <v>36</v>
      </c>
      <c r="U8" s="825">
        <f t="shared" si="0"/>
        <v>2788.2</v>
      </c>
      <c r="V8"/>
      <c r="W8"/>
      <c r="X8"/>
      <c r="Y8"/>
      <c r="Z8"/>
      <c r="AA8"/>
      <c r="AB8"/>
      <c r="AC8"/>
      <c r="AD8"/>
      <c r="AE8"/>
      <c r="AF8"/>
      <c r="AG8"/>
      <c r="AH8"/>
      <c r="AI8"/>
      <c r="AJ8"/>
      <c r="AK8"/>
      <c r="AL8"/>
      <c r="AM8"/>
      <c r="AN8"/>
      <c r="AO8"/>
      <c r="AP8"/>
      <c r="AQ8"/>
      <c r="AR8"/>
      <c r="AS8"/>
      <c r="AT8"/>
      <c r="AU8"/>
      <c r="AV8"/>
      <c r="AW8"/>
      <c r="AX8"/>
      <c r="AY8"/>
    </row>
    <row r="9" spans="1:51" s="125" customFormat="1" ht="23.25" customHeight="1">
      <c r="A9" s="1100" t="s">
        <v>492</v>
      </c>
      <c r="B9" s="179"/>
      <c r="C9" s="323"/>
      <c r="D9" s="179"/>
      <c r="E9" s="323"/>
      <c r="F9" s="179"/>
      <c r="G9" s="323"/>
      <c r="H9" s="179"/>
      <c r="I9" s="323"/>
      <c r="J9" s="179"/>
      <c r="K9" s="323"/>
      <c r="L9" s="179"/>
      <c r="M9" s="323"/>
      <c r="N9" s="179"/>
      <c r="O9" s="323"/>
      <c r="P9" s="179"/>
      <c r="Q9" s="323"/>
      <c r="R9" s="179"/>
      <c r="S9" s="323"/>
      <c r="T9" s="177"/>
      <c r="U9" s="334"/>
      <c r="V9"/>
      <c r="W9"/>
      <c r="X9"/>
      <c r="Y9"/>
      <c r="Z9"/>
      <c r="AA9"/>
      <c r="AB9"/>
      <c r="AC9"/>
      <c r="AD9"/>
      <c r="AE9"/>
      <c r="AF9"/>
      <c r="AG9"/>
      <c r="AH9"/>
      <c r="AI9"/>
      <c r="AJ9"/>
      <c r="AK9"/>
      <c r="AL9"/>
      <c r="AM9"/>
      <c r="AN9"/>
      <c r="AO9"/>
      <c r="AP9"/>
      <c r="AQ9"/>
      <c r="AR9"/>
      <c r="AS9"/>
      <c r="AT9"/>
      <c r="AU9"/>
      <c r="AV9"/>
      <c r="AW9"/>
      <c r="AX9"/>
      <c r="AY9"/>
    </row>
    <row r="10" spans="1:51" s="125" customFormat="1" ht="19.5" customHeight="1">
      <c r="A10" s="129" t="s">
        <v>403</v>
      </c>
      <c r="B10" s="174"/>
      <c r="C10" s="322"/>
      <c r="D10" s="174"/>
      <c r="E10" s="322"/>
      <c r="F10" s="174"/>
      <c r="G10" s="322"/>
      <c r="H10" s="174">
        <v>1</v>
      </c>
      <c r="I10" s="322">
        <v>85.3</v>
      </c>
      <c r="J10" s="174"/>
      <c r="K10" s="322"/>
      <c r="L10" s="174"/>
      <c r="M10" s="322"/>
      <c r="N10" s="174"/>
      <c r="O10" s="322"/>
      <c r="P10" s="174"/>
      <c r="Q10" s="322"/>
      <c r="R10" s="174"/>
      <c r="S10" s="322"/>
      <c r="T10" s="176">
        <f aca="true" t="shared" si="1" ref="T10:U14">SUM(B10,J10,F10,N10,D10,H10,L10,P10,R10)</f>
        <v>1</v>
      </c>
      <c r="U10" s="823">
        <f t="shared" si="1"/>
        <v>85.3</v>
      </c>
      <c r="V10"/>
      <c r="W10"/>
      <c r="X10"/>
      <c r="Y10"/>
      <c r="Z10"/>
      <c r="AA10"/>
      <c r="AB10"/>
      <c r="AC10"/>
      <c r="AD10"/>
      <c r="AE10"/>
      <c r="AF10"/>
      <c r="AG10"/>
      <c r="AH10"/>
      <c r="AI10"/>
      <c r="AJ10"/>
      <c r="AK10"/>
      <c r="AL10"/>
      <c r="AM10"/>
      <c r="AN10"/>
      <c r="AO10"/>
      <c r="AP10"/>
      <c r="AQ10"/>
      <c r="AR10"/>
      <c r="AS10"/>
      <c r="AT10"/>
      <c r="AU10"/>
      <c r="AV10"/>
      <c r="AW10"/>
      <c r="AX10"/>
      <c r="AY10"/>
    </row>
    <row r="11" spans="1:51" s="125" customFormat="1" ht="19.5" customHeight="1">
      <c r="A11" s="129" t="s">
        <v>74</v>
      </c>
      <c r="B11" s="174"/>
      <c r="C11" s="322"/>
      <c r="D11" s="174"/>
      <c r="E11" s="322"/>
      <c r="F11" s="174"/>
      <c r="G11" s="322"/>
      <c r="H11" s="174">
        <v>1</v>
      </c>
      <c r="I11" s="322">
        <v>82.6</v>
      </c>
      <c r="J11" s="174"/>
      <c r="K11" s="322"/>
      <c r="L11" s="174"/>
      <c r="M11" s="322"/>
      <c r="N11" s="174"/>
      <c r="O11" s="322"/>
      <c r="P11" s="174"/>
      <c r="Q11" s="322"/>
      <c r="R11" s="174"/>
      <c r="S11" s="322"/>
      <c r="T11" s="176">
        <f t="shared" si="1"/>
        <v>1</v>
      </c>
      <c r="U11" s="823">
        <f t="shared" si="1"/>
        <v>82.6</v>
      </c>
      <c r="V11"/>
      <c r="W11"/>
      <c r="X11"/>
      <c r="Y11"/>
      <c r="Z11"/>
      <c r="AA11"/>
      <c r="AB11"/>
      <c r="AC11"/>
      <c r="AD11"/>
      <c r="AE11"/>
      <c r="AF11"/>
      <c r="AG11"/>
      <c r="AH11"/>
      <c r="AI11"/>
      <c r="AJ11"/>
      <c r="AK11"/>
      <c r="AL11"/>
      <c r="AM11"/>
      <c r="AN11"/>
      <c r="AO11"/>
      <c r="AP11"/>
      <c r="AQ11"/>
      <c r="AR11"/>
      <c r="AS11"/>
      <c r="AT11"/>
      <c r="AU11"/>
      <c r="AV11"/>
      <c r="AW11"/>
      <c r="AX11"/>
      <c r="AY11"/>
    </row>
    <row r="12" spans="1:51" s="125" customFormat="1" ht="19.5" customHeight="1">
      <c r="A12" s="129" t="s">
        <v>94</v>
      </c>
      <c r="B12" s="174"/>
      <c r="C12" s="322"/>
      <c r="D12" s="174">
        <v>3</v>
      </c>
      <c r="E12" s="322">
        <v>309.9</v>
      </c>
      <c r="F12" s="174"/>
      <c r="G12" s="322"/>
      <c r="H12" s="174">
        <v>2</v>
      </c>
      <c r="I12" s="322">
        <v>167.4</v>
      </c>
      <c r="J12" s="174"/>
      <c r="K12" s="322"/>
      <c r="L12" s="174"/>
      <c r="M12" s="322"/>
      <c r="N12" s="174"/>
      <c r="O12" s="322"/>
      <c r="P12" s="174"/>
      <c r="Q12" s="322"/>
      <c r="R12" s="174"/>
      <c r="S12" s="322"/>
      <c r="T12" s="176">
        <f t="shared" si="1"/>
        <v>5</v>
      </c>
      <c r="U12" s="823">
        <f t="shared" si="1"/>
        <v>477.29999999999995</v>
      </c>
      <c r="V12"/>
      <c r="W12"/>
      <c r="X12"/>
      <c r="Y12"/>
      <c r="Z12"/>
      <c r="AA12"/>
      <c r="AB12"/>
      <c r="AC12"/>
      <c r="AD12"/>
      <c r="AE12"/>
      <c r="AF12"/>
      <c r="AG12"/>
      <c r="AH12"/>
      <c r="AI12"/>
      <c r="AJ12"/>
      <c r="AK12"/>
      <c r="AL12"/>
      <c r="AM12"/>
      <c r="AN12"/>
      <c r="AO12"/>
      <c r="AP12"/>
      <c r="AQ12"/>
      <c r="AR12"/>
      <c r="AS12"/>
      <c r="AT12"/>
      <c r="AU12"/>
      <c r="AV12"/>
      <c r="AW12"/>
      <c r="AX12"/>
      <c r="AY12"/>
    </row>
    <row r="13" spans="1:51" s="125" customFormat="1" ht="19.5" customHeight="1">
      <c r="A13" s="129" t="s">
        <v>75</v>
      </c>
      <c r="B13" s="174">
        <v>2</v>
      </c>
      <c r="C13" s="322">
        <v>272</v>
      </c>
      <c r="D13" s="174"/>
      <c r="E13" s="322"/>
      <c r="F13" s="174">
        <v>2</v>
      </c>
      <c r="G13" s="322">
        <v>191.6</v>
      </c>
      <c r="H13" s="174">
        <v>2</v>
      </c>
      <c r="I13" s="322">
        <v>169.6</v>
      </c>
      <c r="J13" s="174"/>
      <c r="K13" s="322"/>
      <c r="L13" s="174"/>
      <c r="M13" s="322"/>
      <c r="N13" s="174"/>
      <c r="O13" s="322"/>
      <c r="P13" s="174"/>
      <c r="Q13" s="322"/>
      <c r="R13" s="174"/>
      <c r="S13" s="322"/>
      <c r="T13" s="176">
        <f t="shared" si="1"/>
        <v>6</v>
      </c>
      <c r="U13" s="823">
        <f t="shared" si="1"/>
        <v>633.2</v>
      </c>
      <c r="V13"/>
      <c r="W13"/>
      <c r="X13"/>
      <c r="Y13"/>
      <c r="Z13"/>
      <c r="AA13"/>
      <c r="AB13"/>
      <c r="AC13"/>
      <c r="AD13"/>
      <c r="AE13"/>
      <c r="AF13"/>
      <c r="AG13"/>
      <c r="AH13"/>
      <c r="AI13"/>
      <c r="AJ13"/>
      <c r="AK13"/>
      <c r="AL13"/>
      <c r="AM13"/>
      <c r="AN13"/>
      <c r="AO13"/>
      <c r="AP13"/>
      <c r="AQ13"/>
      <c r="AR13"/>
      <c r="AS13"/>
      <c r="AT13"/>
      <c r="AU13"/>
      <c r="AV13"/>
      <c r="AW13"/>
      <c r="AX13"/>
      <c r="AY13"/>
    </row>
    <row r="14" spans="1:51" s="125" customFormat="1" ht="19.5" customHeight="1">
      <c r="A14" s="16" t="s">
        <v>70</v>
      </c>
      <c r="B14" s="335"/>
      <c r="C14" s="336"/>
      <c r="D14" s="335"/>
      <c r="E14" s="336"/>
      <c r="F14" s="335">
        <v>2</v>
      </c>
      <c r="G14" s="336">
        <v>215.2</v>
      </c>
      <c r="H14" s="335"/>
      <c r="I14" s="336"/>
      <c r="J14" s="335"/>
      <c r="K14" s="336"/>
      <c r="L14" s="335"/>
      <c r="M14" s="336"/>
      <c r="N14" s="335"/>
      <c r="O14" s="336"/>
      <c r="P14" s="335"/>
      <c r="Q14" s="336"/>
      <c r="R14" s="335"/>
      <c r="S14" s="336"/>
      <c r="T14" s="337">
        <f t="shared" si="1"/>
        <v>2</v>
      </c>
      <c r="U14" s="825">
        <f t="shared" si="1"/>
        <v>215.2</v>
      </c>
      <c r="V14"/>
      <c r="W14"/>
      <c r="X14"/>
      <c r="Y14"/>
      <c r="Z14"/>
      <c r="AA14"/>
      <c r="AB14"/>
      <c r="AC14"/>
      <c r="AD14"/>
      <c r="AE14"/>
      <c r="AF14"/>
      <c r="AG14"/>
      <c r="AH14"/>
      <c r="AI14"/>
      <c r="AJ14"/>
      <c r="AK14"/>
      <c r="AL14"/>
      <c r="AM14"/>
      <c r="AN14"/>
      <c r="AO14"/>
      <c r="AP14"/>
      <c r="AQ14"/>
      <c r="AR14"/>
      <c r="AS14"/>
      <c r="AT14"/>
      <c r="AU14"/>
      <c r="AV14"/>
      <c r="AW14"/>
      <c r="AX14"/>
      <c r="AY14"/>
    </row>
    <row r="15" spans="1:51" s="125" customFormat="1" ht="23.25" customHeight="1">
      <c r="A15" s="1094" t="s">
        <v>493</v>
      </c>
      <c r="B15" s="179"/>
      <c r="C15" s="323"/>
      <c r="D15" s="179"/>
      <c r="E15" s="323"/>
      <c r="F15" s="179"/>
      <c r="G15" s="323"/>
      <c r="H15" s="179"/>
      <c r="I15" s="323"/>
      <c r="J15" s="179"/>
      <c r="K15" s="323"/>
      <c r="L15" s="179"/>
      <c r="M15" s="323"/>
      <c r="N15" s="179"/>
      <c r="O15" s="323"/>
      <c r="P15" s="179"/>
      <c r="Q15" s="323"/>
      <c r="R15" s="179"/>
      <c r="S15" s="323"/>
      <c r="T15" s="177"/>
      <c r="U15" s="334"/>
      <c r="V15"/>
      <c r="W15"/>
      <c r="X15"/>
      <c r="Y15"/>
      <c r="Z15"/>
      <c r="AA15"/>
      <c r="AB15"/>
      <c r="AC15"/>
      <c r="AD15"/>
      <c r="AE15"/>
      <c r="AF15"/>
      <c r="AG15"/>
      <c r="AH15"/>
      <c r="AI15"/>
      <c r="AJ15"/>
      <c r="AK15"/>
      <c r="AL15"/>
      <c r="AM15"/>
      <c r="AN15"/>
      <c r="AO15"/>
      <c r="AP15"/>
      <c r="AQ15"/>
      <c r="AR15"/>
      <c r="AS15"/>
      <c r="AT15"/>
      <c r="AU15"/>
      <c r="AV15"/>
      <c r="AW15"/>
      <c r="AX15"/>
      <c r="AY15"/>
    </row>
    <row r="16" spans="1:51" s="125" customFormat="1" ht="20.25" customHeight="1">
      <c r="A16" s="130" t="s">
        <v>69</v>
      </c>
      <c r="B16" s="335"/>
      <c r="C16" s="336"/>
      <c r="D16" s="335">
        <v>1</v>
      </c>
      <c r="E16" s="336">
        <v>106.5</v>
      </c>
      <c r="F16" s="335"/>
      <c r="G16" s="336"/>
      <c r="H16" s="335"/>
      <c r="I16" s="336"/>
      <c r="J16" s="335"/>
      <c r="K16" s="336"/>
      <c r="L16" s="335"/>
      <c r="M16" s="336"/>
      <c r="N16" s="335"/>
      <c r="O16" s="336"/>
      <c r="P16" s="335"/>
      <c r="Q16" s="336"/>
      <c r="R16" s="335">
        <v>2</v>
      </c>
      <c r="S16" s="336">
        <v>211.4</v>
      </c>
      <c r="T16" s="337">
        <f>SUM(B16,J16,F16,N16,D16,H16,L16,P16,R16)</f>
        <v>3</v>
      </c>
      <c r="U16" s="825">
        <f>SUM(C16,K16,G16,O16,E16,I16,M16,Q16,S16)</f>
        <v>317.9</v>
      </c>
      <c r="V16"/>
      <c r="W16"/>
      <c r="X16"/>
      <c r="Y16"/>
      <c r="Z16"/>
      <c r="AA16"/>
      <c r="AB16"/>
      <c r="AC16"/>
      <c r="AD16"/>
      <c r="AE16"/>
      <c r="AF16"/>
      <c r="AG16"/>
      <c r="AH16"/>
      <c r="AI16"/>
      <c r="AJ16"/>
      <c r="AK16"/>
      <c r="AL16"/>
      <c r="AM16"/>
      <c r="AN16"/>
      <c r="AO16"/>
      <c r="AP16"/>
      <c r="AQ16"/>
      <c r="AR16"/>
      <c r="AS16"/>
      <c r="AT16"/>
      <c r="AU16"/>
      <c r="AV16"/>
      <c r="AW16"/>
      <c r="AX16"/>
      <c r="AY16"/>
    </row>
    <row r="17" spans="1:51" s="125" customFormat="1" ht="23.25" customHeight="1">
      <c r="A17" s="1103" t="s">
        <v>494</v>
      </c>
      <c r="B17" s="173"/>
      <c r="C17" s="324"/>
      <c r="D17" s="173"/>
      <c r="E17" s="324"/>
      <c r="F17" s="173"/>
      <c r="G17" s="324"/>
      <c r="H17" s="173"/>
      <c r="I17" s="324"/>
      <c r="J17" s="173"/>
      <c r="K17" s="324"/>
      <c r="L17" s="173"/>
      <c r="M17" s="324"/>
      <c r="N17" s="173"/>
      <c r="O17" s="324"/>
      <c r="P17" s="173"/>
      <c r="Q17" s="324"/>
      <c r="R17" s="173"/>
      <c r="S17" s="324"/>
      <c r="T17" s="176"/>
      <c r="U17" s="333"/>
      <c r="V17"/>
      <c r="W17"/>
      <c r="X17"/>
      <c r="Y17"/>
      <c r="Z17"/>
      <c r="AA17"/>
      <c r="AB17"/>
      <c r="AC17"/>
      <c r="AD17"/>
      <c r="AE17"/>
      <c r="AF17"/>
      <c r="AG17"/>
      <c r="AH17"/>
      <c r="AI17"/>
      <c r="AJ17"/>
      <c r="AK17"/>
      <c r="AL17"/>
      <c r="AM17"/>
      <c r="AN17"/>
      <c r="AO17"/>
      <c r="AP17"/>
      <c r="AQ17"/>
      <c r="AR17"/>
      <c r="AS17"/>
      <c r="AT17"/>
      <c r="AU17"/>
      <c r="AV17"/>
      <c r="AW17"/>
      <c r="AX17"/>
      <c r="AY17"/>
    </row>
    <row r="18" spans="1:51" s="125" customFormat="1" ht="20.25" customHeight="1">
      <c r="A18" s="129" t="s">
        <v>76</v>
      </c>
      <c r="B18" s="174"/>
      <c r="C18" s="322"/>
      <c r="D18" s="174"/>
      <c r="E18" s="322"/>
      <c r="F18" s="174"/>
      <c r="G18" s="322"/>
      <c r="H18" s="174">
        <v>4</v>
      </c>
      <c r="I18" s="322">
        <v>338.2</v>
      </c>
      <c r="J18" s="174"/>
      <c r="K18" s="322"/>
      <c r="L18" s="174"/>
      <c r="M18" s="322"/>
      <c r="N18" s="174"/>
      <c r="O18" s="322"/>
      <c r="P18" s="174"/>
      <c r="Q18" s="322"/>
      <c r="R18" s="174"/>
      <c r="S18" s="322"/>
      <c r="T18" s="176">
        <f>SUM(B18,J18,F18,N18,D18,H18,L18,P18,R18)</f>
        <v>4</v>
      </c>
      <c r="U18" s="823">
        <f>SUM(C18,K18,G18,O18,E18,I18,M18,Q18,S18)</f>
        <v>338.2</v>
      </c>
      <c r="V18"/>
      <c r="W18"/>
      <c r="X18"/>
      <c r="Y18"/>
      <c r="Z18"/>
      <c r="AA18"/>
      <c r="AB18"/>
      <c r="AC18"/>
      <c r="AD18"/>
      <c r="AE18"/>
      <c r="AF18"/>
      <c r="AG18"/>
      <c r="AH18"/>
      <c r="AI18"/>
      <c r="AJ18"/>
      <c r="AK18"/>
      <c r="AL18"/>
      <c r="AM18"/>
      <c r="AN18"/>
      <c r="AO18"/>
      <c r="AP18"/>
      <c r="AQ18"/>
      <c r="AR18"/>
      <c r="AS18"/>
      <c r="AT18"/>
      <c r="AU18"/>
      <c r="AV18"/>
      <c r="AW18"/>
      <c r="AX18"/>
      <c r="AY18"/>
    </row>
    <row r="19" spans="1:51" s="125" customFormat="1" ht="20.25" customHeight="1">
      <c r="A19" s="129" t="s">
        <v>77</v>
      </c>
      <c r="B19" s="174"/>
      <c r="C19" s="322"/>
      <c r="D19" s="174">
        <v>2</v>
      </c>
      <c r="E19" s="322">
        <v>211.8</v>
      </c>
      <c r="F19" s="174"/>
      <c r="G19" s="322"/>
      <c r="H19" s="174">
        <v>4</v>
      </c>
      <c r="I19" s="322">
        <v>337.6</v>
      </c>
      <c r="J19" s="174"/>
      <c r="K19" s="322"/>
      <c r="L19" s="174"/>
      <c r="M19" s="322"/>
      <c r="N19" s="174"/>
      <c r="O19" s="322"/>
      <c r="P19" s="174"/>
      <c r="Q19" s="322"/>
      <c r="R19" s="174">
        <v>2</v>
      </c>
      <c r="S19" s="322">
        <v>108.8</v>
      </c>
      <c r="T19" s="176">
        <f>SUM(B19,J19,F19,N19,D19,H19,L19,P19,R19)</f>
        <v>8</v>
      </c>
      <c r="U19" s="823">
        <f>SUM(C19,K19,G19,O19,E19,I19,M19,Q19,S19)</f>
        <v>658.2</v>
      </c>
      <c r="V19"/>
      <c r="W19"/>
      <c r="X19"/>
      <c r="Y19"/>
      <c r="Z19"/>
      <c r="AA19"/>
      <c r="AB19"/>
      <c r="AC19"/>
      <c r="AD19"/>
      <c r="AE19"/>
      <c r="AF19"/>
      <c r="AG19"/>
      <c r="AH19"/>
      <c r="AI19"/>
      <c r="AJ19"/>
      <c r="AK19"/>
      <c r="AL19"/>
      <c r="AM19"/>
      <c r="AN19"/>
      <c r="AO19"/>
      <c r="AP19"/>
      <c r="AQ19"/>
      <c r="AR19"/>
      <c r="AS19"/>
      <c r="AT19"/>
      <c r="AU19"/>
      <c r="AV19"/>
      <c r="AW19"/>
      <c r="AX19"/>
      <c r="AY19"/>
    </row>
    <row r="20" spans="1:51" s="125" customFormat="1" ht="20.25" customHeight="1">
      <c r="A20" s="129" t="s">
        <v>72</v>
      </c>
      <c r="B20" s="174"/>
      <c r="C20" s="322"/>
      <c r="D20" s="174"/>
      <c r="E20" s="322"/>
      <c r="F20" s="174"/>
      <c r="G20" s="322"/>
      <c r="H20" s="174">
        <v>1</v>
      </c>
      <c r="I20" s="322">
        <v>85.4</v>
      </c>
      <c r="J20" s="174"/>
      <c r="K20" s="322"/>
      <c r="L20" s="174"/>
      <c r="M20" s="322">
        <v>37.9</v>
      </c>
      <c r="N20" s="174"/>
      <c r="O20" s="322"/>
      <c r="P20" s="174"/>
      <c r="Q20" s="322"/>
      <c r="R20" s="174">
        <v>3</v>
      </c>
      <c r="S20" s="322">
        <v>102.1</v>
      </c>
      <c r="T20" s="176">
        <f aca="true" t="shared" si="2" ref="T20:T25">SUM(B20,J20,F20,N20,D20,H20,L20,P20,R20)</f>
        <v>4</v>
      </c>
      <c r="U20" s="823">
        <f aca="true" t="shared" si="3" ref="U20:U25">SUM(C20,K20,G20,O20,E20,I20,M20,Q20,S20)</f>
        <v>225.4</v>
      </c>
      <c r="V20"/>
      <c r="W20"/>
      <c r="X20"/>
      <c r="Y20"/>
      <c r="Z20"/>
      <c r="AA20"/>
      <c r="AB20"/>
      <c r="AC20"/>
      <c r="AD20"/>
      <c r="AE20"/>
      <c r="AF20"/>
      <c r="AG20"/>
      <c r="AH20"/>
      <c r="AI20"/>
      <c r="AJ20"/>
      <c r="AK20"/>
      <c r="AL20"/>
      <c r="AM20"/>
      <c r="AN20"/>
      <c r="AO20"/>
      <c r="AP20"/>
      <c r="AQ20"/>
      <c r="AR20"/>
      <c r="AS20"/>
      <c r="AT20"/>
      <c r="AU20"/>
      <c r="AV20"/>
      <c r="AW20"/>
      <c r="AX20"/>
      <c r="AY20"/>
    </row>
    <row r="21" spans="1:51" s="125" customFormat="1" ht="20.25" customHeight="1">
      <c r="A21" s="129" t="s">
        <v>407</v>
      </c>
      <c r="B21" s="174"/>
      <c r="C21" s="322"/>
      <c r="D21" s="174">
        <v>2</v>
      </c>
      <c r="E21" s="322">
        <v>213</v>
      </c>
      <c r="F21" s="174"/>
      <c r="G21" s="322"/>
      <c r="H21" s="174"/>
      <c r="I21" s="322"/>
      <c r="J21" s="174"/>
      <c r="K21" s="322"/>
      <c r="L21" s="174"/>
      <c r="M21" s="322"/>
      <c r="N21" s="174"/>
      <c r="O21" s="322"/>
      <c r="P21" s="174"/>
      <c r="Q21" s="322"/>
      <c r="R21" s="174"/>
      <c r="S21" s="322"/>
      <c r="T21" s="176">
        <f t="shared" si="2"/>
        <v>2</v>
      </c>
      <c r="U21" s="823">
        <f t="shared" si="3"/>
        <v>213</v>
      </c>
      <c r="V21"/>
      <c r="W21"/>
      <c r="X21"/>
      <c r="Y21"/>
      <c r="Z21"/>
      <c r="AA21"/>
      <c r="AB21"/>
      <c r="AC21"/>
      <c r="AD21"/>
      <c r="AE21"/>
      <c r="AF21"/>
      <c r="AG21"/>
      <c r="AH21"/>
      <c r="AI21"/>
      <c r="AJ21"/>
      <c r="AK21"/>
      <c r="AL21"/>
      <c r="AM21"/>
      <c r="AN21"/>
      <c r="AO21"/>
      <c r="AP21"/>
      <c r="AQ21"/>
      <c r="AR21"/>
      <c r="AS21"/>
      <c r="AT21"/>
      <c r="AU21"/>
      <c r="AV21"/>
      <c r="AW21"/>
      <c r="AX21"/>
      <c r="AY21"/>
    </row>
    <row r="22" spans="1:51" s="125" customFormat="1" ht="20.25" customHeight="1">
      <c r="A22" s="129" t="s">
        <v>96</v>
      </c>
      <c r="B22" s="174"/>
      <c r="C22" s="322"/>
      <c r="D22" s="174"/>
      <c r="E22" s="322"/>
      <c r="F22" s="174"/>
      <c r="G22" s="322"/>
      <c r="H22" s="174">
        <v>4</v>
      </c>
      <c r="I22" s="322">
        <v>338.8</v>
      </c>
      <c r="J22" s="174"/>
      <c r="K22" s="322"/>
      <c r="L22" s="174"/>
      <c r="M22" s="322"/>
      <c r="N22" s="174"/>
      <c r="O22" s="322"/>
      <c r="P22" s="174"/>
      <c r="Q22" s="322"/>
      <c r="R22" s="174"/>
      <c r="S22" s="322"/>
      <c r="T22" s="176">
        <f t="shared" si="2"/>
        <v>4</v>
      </c>
      <c r="U22" s="823">
        <f t="shared" si="3"/>
        <v>338.8</v>
      </c>
      <c r="V22"/>
      <c r="W22"/>
      <c r="X22"/>
      <c r="Y22"/>
      <c r="Z22"/>
      <c r="AA22"/>
      <c r="AB22"/>
      <c r="AC22"/>
      <c r="AD22"/>
      <c r="AE22"/>
      <c r="AF22"/>
      <c r="AG22"/>
      <c r="AH22"/>
      <c r="AI22"/>
      <c r="AJ22"/>
      <c r="AK22"/>
      <c r="AL22"/>
      <c r="AM22"/>
      <c r="AN22"/>
      <c r="AO22"/>
      <c r="AP22"/>
      <c r="AQ22"/>
      <c r="AR22"/>
      <c r="AS22"/>
      <c r="AT22"/>
      <c r="AU22"/>
      <c r="AV22"/>
      <c r="AW22"/>
      <c r="AX22"/>
      <c r="AY22"/>
    </row>
    <row r="23" spans="1:51" s="125" customFormat="1" ht="20.25" customHeight="1">
      <c r="A23" s="129" t="s">
        <v>98</v>
      </c>
      <c r="B23" s="174"/>
      <c r="C23" s="322"/>
      <c r="D23" s="174"/>
      <c r="E23" s="322"/>
      <c r="F23" s="174"/>
      <c r="G23" s="322"/>
      <c r="H23" s="174">
        <v>3</v>
      </c>
      <c r="I23" s="322">
        <v>249.4</v>
      </c>
      <c r="J23" s="174"/>
      <c r="K23" s="322"/>
      <c r="L23" s="174"/>
      <c r="M23" s="322"/>
      <c r="N23" s="174"/>
      <c r="O23" s="322"/>
      <c r="P23" s="174"/>
      <c r="Q23" s="322"/>
      <c r="R23" s="174"/>
      <c r="S23" s="322"/>
      <c r="T23" s="176">
        <f t="shared" si="2"/>
        <v>3</v>
      </c>
      <c r="U23" s="823">
        <f t="shared" si="3"/>
        <v>249.4</v>
      </c>
      <c r="V23"/>
      <c r="W23"/>
      <c r="X23"/>
      <c r="Y23"/>
      <c r="Z23"/>
      <c r="AA23"/>
      <c r="AB23"/>
      <c r="AC23"/>
      <c r="AD23"/>
      <c r="AE23"/>
      <c r="AF23"/>
      <c r="AG23"/>
      <c r="AH23"/>
      <c r="AI23"/>
      <c r="AJ23"/>
      <c r="AK23"/>
      <c r="AL23"/>
      <c r="AM23"/>
      <c r="AN23"/>
      <c r="AO23"/>
      <c r="AP23"/>
      <c r="AQ23"/>
      <c r="AR23"/>
      <c r="AS23"/>
      <c r="AT23"/>
      <c r="AU23"/>
      <c r="AV23"/>
      <c r="AW23"/>
      <c r="AX23"/>
      <c r="AY23"/>
    </row>
    <row r="24" spans="1:51" s="125" customFormat="1" ht="20.25" customHeight="1">
      <c r="A24" s="129" t="s">
        <v>78</v>
      </c>
      <c r="B24" s="174"/>
      <c r="C24" s="322"/>
      <c r="D24" s="174">
        <v>2</v>
      </c>
      <c r="E24" s="322">
        <v>209.2</v>
      </c>
      <c r="F24" s="174"/>
      <c r="G24" s="322"/>
      <c r="H24" s="174"/>
      <c r="I24" s="322"/>
      <c r="J24" s="174"/>
      <c r="K24" s="322"/>
      <c r="L24" s="174"/>
      <c r="M24" s="322"/>
      <c r="N24" s="174"/>
      <c r="O24" s="322"/>
      <c r="P24" s="174"/>
      <c r="Q24" s="322"/>
      <c r="R24" s="174"/>
      <c r="S24" s="322"/>
      <c r="T24" s="176">
        <f t="shared" si="2"/>
        <v>2</v>
      </c>
      <c r="U24" s="823">
        <f t="shared" si="3"/>
        <v>209.2</v>
      </c>
      <c r="V24"/>
      <c r="W24"/>
      <c r="X24"/>
      <c r="Y24"/>
      <c r="Z24"/>
      <c r="AA24"/>
      <c r="AB24"/>
      <c r="AC24"/>
      <c r="AD24"/>
      <c r="AE24"/>
      <c r="AF24"/>
      <c r="AG24"/>
      <c r="AH24"/>
      <c r="AI24"/>
      <c r="AJ24"/>
      <c r="AK24"/>
      <c r="AL24"/>
      <c r="AM24"/>
      <c r="AN24"/>
      <c r="AO24"/>
      <c r="AP24"/>
      <c r="AQ24"/>
      <c r="AR24"/>
      <c r="AS24"/>
      <c r="AT24"/>
      <c r="AU24"/>
      <c r="AV24"/>
      <c r="AW24"/>
      <c r="AX24"/>
      <c r="AY24"/>
    </row>
    <row r="25" spans="1:51" s="125" customFormat="1" ht="20.25" customHeight="1">
      <c r="A25" s="129" t="s">
        <v>99</v>
      </c>
      <c r="B25" s="174"/>
      <c r="C25" s="322"/>
      <c r="D25" s="174"/>
      <c r="E25" s="322"/>
      <c r="F25" s="174"/>
      <c r="G25" s="322"/>
      <c r="H25" s="174">
        <v>3</v>
      </c>
      <c r="I25" s="322">
        <v>250.7</v>
      </c>
      <c r="J25" s="174"/>
      <c r="K25" s="322"/>
      <c r="L25" s="174"/>
      <c r="M25" s="322"/>
      <c r="N25" s="174"/>
      <c r="O25" s="322"/>
      <c r="P25" s="174"/>
      <c r="Q25" s="322"/>
      <c r="R25" s="174"/>
      <c r="S25" s="322"/>
      <c r="T25" s="176">
        <f t="shared" si="2"/>
        <v>3</v>
      </c>
      <c r="U25" s="823">
        <f t="shared" si="3"/>
        <v>250.7</v>
      </c>
      <c r="V25"/>
      <c r="W25"/>
      <c r="X25"/>
      <c r="Y25"/>
      <c r="Z25"/>
      <c r="AA25"/>
      <c r="AB25"/>
      <c r="AC25"/>
      <c r="AD25"/>
      <c r="AE25"/>
      <c r="AF25"/>
      <c r="AG25"/>
      <c r="AH25"/>
      <c r="AI25"/>
      <c r="AJ25"/>
      <c r="AK25"/>
      <c r="AL25"/>
      <c r="AM25"/>
      <c r="AN25"/>
      <c r="AO25"/>
      <c r="AP25"/>
      <c r="AQ25"/>
      <c r="AR25"/>
      <c r="AS25"/>
      <c r="AT25"/>
      <c r="AU25"/>
      <c r="AV25"/>
      <c r="AW25"/>
      <c r="AX25"/>
      <c r="AY25"/>
    </row>
    <row r="26" spans="1:51" s="769" customFormat="1" ht="20.25" customHeight="1">
      <c r="A26" s="130" t="s">
        <v>79</v>
      </c>
      <c r="B26" s="335"/>
      <c r="C26" s="336"/>
      <c r="D26" s="335">
        <v>2</v>
      </c>
      <c r="E26" s="336">
        <v>213</v>
      </c>
      <c r="F26" s="335"/>
      <c r="G26" s="336"/>
      <c r="H26" s="335">
        <v>5</v>
      </c>
      <c r="I26" s="336">
        <v>423.1</v>
      </c>
      <c r="J26" s="335"/>
      <c r="K26" s="336"/>
      <c r="L26" s="335"/>
      <c r="M26" s="336"/>
      <c r="N26" s="335"/>
      <c r="O26" s="336"/>
      <c r="P26" s="335"/>
      <c r="Q26" s="336"/>
      <c r="R26" s="335">
        <v>4</v>
      </c>
      <c r="S26" s="336">
        <v>207.2</v>
      </c>
      <c r="T26" s="337">
        <f>SUM(B26,J26,F26,N26,D26,H26,L26,P26,R26)</f>
        <v>11</v>
      </c>
      <c r="U26" s="825">
        <f>SUM(C26,K26,G26,O26,E26,I26,M26,Q26,S26)</f>
        <v>843.3</v>
      </c>
      <c r="V26" s="256"/>
      <c r="W26" s="256"/>
      <c r="X26" s="256"/>
      <c r="Y26" s="256"/>
      <c r="Z26" s="256"/>
      <c r="AA26" s="256"/>
      <c r="AB26" s="256"/>
      <c r="AC26" s="256"/>
      <c r="AD26" s="256"/>
      <c r="AE26" s="256"/>
      <c r="AF26" s="256"/>
      <c r="AG26" s="256"/>
      <c r="AH26" s="256"/>
      <c r="AI26" s="256"/>
      <c r="AJ26" s="256"/>
      <c r="AK26" s="256"/>
      <c r="AL26" s="256"/>
      <c r="AM26" s="256"/>
      <c r="AN26" s="256"/>
      <c r="AO26" s="256"/>
      <c r="AP26" s="256"/>
      <c r="AQ26" s="256"/>
      <c r="AR26" s="256"/>
      <c r="AS26" s="256"/>
      <c r="AT26" s="256"/>
      <c r="AU26" s="256"/>
      <c r="AV26" s="256"/>
      <c r="AW26" s="256"/>
      <c r="AX26" s="256"/>
      <c r="AY26" s="256"/>
    </row>
    <row r="27" spans="1:51" s="125" customFormat="1" ht="23.25" customHeight="1">
      <c r="A27" s="131" t="s">
        <v>539</v>
      </c>
      <c r="B27" s="174"/>
      <c r="C27" s="322"/>
      <c r="D27" s="174"/>
      <c r="E27" s="322"/>
      <c r="F27" s="174"/>
      <c r="G27" s="322"/>
      <c r="H27" s="174"/>
      <c r="I27" s="322"/>
      <c r="J27" s="174"/>
      <c r="K27" s="322"/>
      <c r="L27" s="174"/>
      <c r="M27" s="322"/>
      <c r="N27" s="174"/>
      <c r="O27" s="322"/>
      <c r="P27" s="174"/>
      <c r="Q27" s="322"/>
      <c r="R27" s="174"/>
      <c r="S27" s="322"/>
      <c r="T27" s="174"/>
      <c r="U27" s="322"/>
      <c r="V27"/>
      <c r="W27"/>
      <c r="X27"/>
      <c r="Y27"/>
      <c r="Z27"/>
      <c r="AA27"/>
      <c r="AB27"/>
      <c r="AC27"/>
      <c r="AD27"/>
      <c r="AE27"/>
      <c r="AF27"/>
      <c r="AG27"/>
      <c r="AH27"/>
      <c r="AI27"/>
      <c r="AJ27"/>
      <c r="AK27"/>
      <c r="AL27"/>
      <c r="AM27"/>
      <c r="AN27"/>
      <c r="AO27"/>
      <c r="AP27"/>
      <c r="AQ27"/>
      <c r="AR27"/>
      <c r="AS27"/>
      <c r="AT27"/>
      <c r="AU27"/>
      <c r="AV27"/>
      <c r="AW27"/>
      <c r="AX27"/>
      <c r="AY27"/>
    </row>
    <row r="28" spans="1:51" s="125" customFormat="1" ht="20.25" customHeight="1">
      <c r="A28" s="129" t="s">
        <v>112</v>
      </c>
      <c r="B28" s="174">
        <v>1</v>
      </c>
      <c r="C28" s="322">
        <v>107.2</v>
      </c>
      <c r="D28" s="174"/>
      <c r="E28" s="322"/>
      <c r="F28" s="174"/>
      <c r="G28" s="322"/>
      <c r="H28" s="174">
        <v>5</v>
      </c>
      <c r="I28" s="322">
        <v>426.8</v>
      </c>
      <c r="J28" s="174"/>
      <c r="K28" s="322"/>
      <c r="L28" s="174"/>
      <c r="M28" s="322"/>
      <c r="N28" s="174"/>
      <c r="O28" s="322"/>
      <c r="P28" s="174"/>
      <c r="Q28" s="322"/>
      <c r="R28" s="174"/>
      <c r="S28" s="322"/>
      <c r="T28" s="176">
        <f>SUM(B28,J28,F28,N28,D28,H28,L28,P28,R28)</f>
        <v>6</v>
      </c>
      <c r="U28" s="823">
        <f>SUM(C28,K28,G28,O28,E28,I28,M28,Q28,S28)</f>
        <v>534</v>
      </c>
      <c r="V28"/>
      <c r="W28"/>
      <c r="X28"/>
      <c r="Y28"/>
      <c r="Z28"/>
      <c r="AA28"/>
      <c r="AB28"/>
      <c r="AC28"/>
      <c r="AD28"/>
      <c r="AE28"/>
      <c r="AF28"/>
      <c r="AG28"/>
      <c r="AH28"/>
      <c r="AI28"/>
      <c r="AJ28"/>
      <c r="AK28"/>
      <c r="AL28"/>
      <c r="AM28"/>
      <c r="AN28"/>
      <c r="AO28"/>
      <c r="AP28"/>
      <c r="AQ28"/>
      <c r="AR28"/>
      <c r="AS28"/>
      <c r="AT28"/>
      <c r="AU28"/>
      <c r="AV28"/>
      <c r="AW28"/>
      <c r="AX28"/>
      <c r="AY28"/>
    </row>
    <row r="29" spans="1:51" s="125" customFormat="1" ht="23.25" customHeight="1">
      <c r="A29" s="1103" t="s">
        <v>496</v>
      </c>
      <c r="B29" s="174"/>
      <c r="C29" s="322"/>
      <c r="D29" s="174"/>
      <c r="E29" s="322"/>
      <c r="F29" s="174"/>
      <c r="G29" s="322"/>
      <c r="H29" s="174"/>
      <c r="I29" s="322"/>
      <c r="J29" s="174"/>
      <c r="K29" s="322"/>
      <c r="L29" s="174"/>
      <c r="M29" s="322"/>
      <c r="N29" s="174"/>
      <c r="O29" s="322"/>
      <c r="P29" s="174"/>
      <c r="Q29" s="322"/>
      <c r="R29" s="174"/>
      <c r="S29" s="322"/>
      <c r="T29" s="174"/>
      <c r="U29" s="322"/>
      <c r="V29"/>
      <c r="W29"/>
      <c r="X29"/>
      <c r="Y29"/>
      <c r="Z29"/>
      <c r="AA29"/>
      <c r="AB29"/>
      <c r="AC29"/>
      <c r="AD29"/>
      <c r="AE29"/>
      <c r="AF29"/>
      <c r="AG29"/>
      <c r="AH29"/>
      <c r="AI29"/>
      <c r="AJ29"/>
      <c r="AK29"/>
      <c r="AL29"/>
      <c r="AM29"/>
      <c r="AN29"/>
      <c r="AO29"/>
      <c r="AP29"/>
      <c r="AQ29"/>
      <c r="AR29"/>
      <c r="AS29"/>
      <c r="AT29"/>
      <c r="AU29"/>
      <c r="AV29"/>
      <c r="AW29"/>
      <c r="AX29"/>
      <c r="AY29"/>
    </row>
    <row r="30" spans="1:51" s="125" customFormat="1" ht="20.25" customHeight="1">
      <c r="A30" s="129" t="s">
        <v>409</v>
      </c>
      <c r="B30" s="174"/>
      <c r="C30" s="322"/>
      <c r="D30" s="174"/>
      <c r="E30" s="322"/>
      <c r="F30" s="174"/>
      <c r="G30" s="322"/>
      <c r="H30" s="174"/>
      <c r="I30" s="322"/>
      <c r="J30" s="174"/>
      <c r="K30" s="322"/>
      <c r="L30" s="174">
        <v>2</v>
      </c>
      <c r="M30" s="322">
        <v>181.8</v>
      </c>
      <c r="N30" s="174"/>
      <c r="O30" s="322"/>
      <c r="P30" s="174"/>
      <c r="Q30" s="322"/>
      <c r="R30" s="174"/>
      <c r="S30" s="322"/>
      <c r="T30" s="176">
        <f aca="true" t="shared" si="4" ref="T30:U36">SUM(B30,J30,F30,N30,D30,H30,L30,P30,R30)</f>
        <v>2</v>
      </c>
      <c r="U30" s="823">
        <f t="shared" si="4"/>
        <v>181.8</v>
      </c>
      <c r="V30"/>
      <c r="W30"/>
      <c r="X30"/>
      <c r="Y30"/>
      <c r="Z30"/>
      <c r="AA30"/>
      <c r="AB30"/>
      <c r="AC30"/>
      <c r="AD30"/>
      <c r="AE30"/>
      <c r="AF30"/>
      <c r="AG30"/>
      <c r="AH30"/>
      <c r="AI30"/>
      <c r="AJ30"/>
      <c r="AK30"/>
      <c r="AL30"/>
      <c r="AM30"/>
      <c r="AN30"/>
      <c r="AO30"/>
      <c r="AP30"/>
      <c r="AQ30"/>
      <c r="AR30"/>
      <c r="AS30"/>
      <c r="AT30"/>
      <c r="AU30"/>
      <c r="AV30"/>
      <c r="AW30"/>
      <c r="AX30"/>
      <c r="AY30"/>
    </row>
    <row r="31" spans="1:51" s="125" customFormat="1" ht="20.25" customHeight="1">
      <c r="A31" s="129" t="s">
        <v>406</v>
      </c>
      <c r="B31" s="174"/>
      <c r="C31" s="322"/>
      <c r="D31" s="174"/>
      <c r="E31" s="322"/>
      <c r="F31" s="174"/>
      <c r="G31" s="322"/>
      <c r="H31" s="174"/>
      <c r="I31" s="322"/>
      <c r="J31" s="174"/>
      <c r="K31" s="322"/>
      <c r="L31" s="174">
        <v>2</v>
      </c>
      <c r="M31" s="322">
        <v>182.2</v>
      </c>
      <c r="N31" s="174"/>
      <c r="O31" s="322"/>
      <c r="P31" s="174"/>
      <c r="Q31" s="322"/>
      <c r="R31" s="174"/>
      <c r="S31" s="322"/>
      <c r="T31" s="176">
        <f t="shared" si="4"/>
        <v>2</v>
      </c>
      <c r="U31" s="823">
        <f t="shared" si="4"/>
        <v>182.2</v>
      </c>
      <c r="V31"/>
      <c r="W31"/>
      <c r="X31"/>
      <c r="Y31"/>
      <c r="Z31"/>
      <c r="AA31"/>
      <c r="AB31"/>
      <c r="AC31"/>
      <c r="AD31"/>
      <c r="AE31"/>
      <c r="AF31"/>
      <c r="AG31"/>
      <c r="AH31"/>
      <c r="AI31"/>
      <c r="AJ31"/>
      <c r="AK31"/>
      <c r="AL31"/>
      <c r="AM31"/>
      <c r="AN31"/>
      <c r="AO31"/>
      <c r="AP31"/>
      <c r="AQ31"/>
      <c r="AR31"/>
      <c r="AS31"/>
      <c r="AT31"/>
      <c r="AU31"/>
      <c r="AV31"/>
      <c r="AW31"/>
      <c r="AX31"/>
      <c r="AY31"/>
    </row>
    <row r="32" spans="1:51" s="125" customFormat="1" ht="20.25" customHeight="1">
      <c r="A32" s="129" t="s">
        <v>405</v>
      </c>
      <c r="B32" s="174"/>
      <c r="C32" s="322"/>
      <c r="D32" s="174"/>
      <c r="E32" s="322"/>
      <c r="F32" s="174"/>
      <c r="G32" s="322"/>
      <c r="H32" s="174"/>
      <c r="I32" s="322"/>
      <c r="J32" s="174"/>
      <c r="K32" s="322"/>
      <c r="L32" s="174">
        <v>2</v>
      </c>
      <c r="M32" s="322">
        <v>182.4</v>
      </c>
      <c r="N32" s="174"/>
      <c r="O32" s="322"/>
      <c r="P32" s="174"/>
      <c r="Q32" s="322"/>
      <c r="R32" s="174"/>
      <c r="S32" s="322"/>
      <c r="T32" s="176">
        <f t="shared" si="4"/>
        <v>2</v>
      </c>
      <c r="U32" s="823">
        <f t="shared" si="4"/>
        <v>182.4</v>
      </c>
      <c r="V32"/>
      <c r="W32"/>
      <c r="X32"/>
      <c r="Y32"/>
      <c r="Z32"/>
      <c r="AA32"/>
      <c r="AB32"/>
      <c r="AC32"/>
      <c r="AD32"/>
      <c r="AE32"/>
      <c r="AF32"/>
      <c r="AG32"/>
      <c r="AH32"/>
      <c r="AI32"/>
      <c r="AJ32"/>
      <c r="AK32"/>
      <c r="AL32"/>
      <c r="AM32"/>
      <c r="AN32"/>
      <c r="AO32"/>
      <c r="AP32"/>
      <c r="AQ32"/>
      <c r="AR32"/>
      <c r="AS32"/>
      <c r="AT32"/>
      <c r="AU32"/>
      <c r="AV32"/>
      <c r="AW32"/>
      <c r="AX32"/>
      <c r="AY32"/>
    </row>
    <row r="33" spans="1:51" s="125" customFormat="1" ht="20.25" customHeight="1">
      <c r="A33" s="129" t="s">
        <v>101</v>
      </c>
      <c r="B33" s="174"/>
      <c r="C33" s="322"/>
      <c r="D33" s="174"/>
      <c r="E33" s="322"/>
      <c r="F33" s="174"/>
      <c r="G33" s="322"/>
      <c r="H33" s="174"/>
      <c r="I33" s="322"/>
      <c r="J33" s="174"/>
      <c r="K33" s="322"/>
      <c r="L33" s="174">
        <v>2</v>
      </c>
      <c r="M33" s="322">
        <v>182.2</v>
      </c>
      <c r="N33" s="174"/>
      <c r="O33" s="322"/>
      <c r="P33" s="174"/>
      <c r="Q33" s="322"/>
      <c r="R33" s="174"/>
      <c r="S33" s="322"/>
      <c r="T33" s="176">
        <f t="shared" si="4"/>
        <v>2</v>
      </c>
      <c r="U33" s="823">
        <f t="shared" si="4"/>
        <v>182.2</v>
      </c>
      <c r="V33"/>
      <c r="W33"/>
      <c r="X33"/>
      <c r="Y33"/>
      <c r="Z33"/>
      <c r="AA33"/>
      <c r="AB33"/>
      <c r="AC33"/>
      <c r="AD33"/>
      <c r="AE33"/>
      <c r="AF33"/>
      <c r="AG33"/>
      <c r="AH33"/>
      <c r="AI33"/>
      <c r="AJ33"/>
      <c r="AK33"/>
      <c r="AL33"/>
      <c r="AM33"/>
      <c r="AN33"/>
      <c r="AO33"/>
      <c r="AP33"/>
      <c r="AQ33"/>
      <c r="AR33"/>
      <c r="AS33"/>
      <c r="AT33"/>
      <c r="AU33"/>
      <c r="AV33"/>
      <c r="AW33"/>
      <c r="AX33"/>
      <c r="AY33"/>
    </row>
    <row r="34" spans="1:51" s="125" customFormat="1" ht="20.25" customHeight="1">
      <c r="A34" s="129" t="s">
        <v>408</v>
      </c>
      <c r="B34" s="174"/>
      <c r="C34" s="322"/>
      <c r="D34" s="174"/>
      <c r="E34" s="322"/>
      <c r="F34" s="174"/>
      <c r="G34" s="322"/>
      <c r="H34" s="174"/>
      <c r="I34" s="322"/>
      <c r="J34" s="174"/>
      <c r="K34" s="322"/>
      <c r="L34" s="174">
        <v>4</v>
      </c>
      <c r="M34" s="322">
        <v>361.9</v>
      </c>
      <c r="N34" s="174"/>
      <c r="O34" s="322"/>
      <c r="P34" s="174"/>
      <c r="Q34" s="322"/>
      <c r="R34" s="174"/>
      <c r="S34" s="322"/>
      <c r="T34" s="176">
        <f t="shared" si="4"/>
        <v>4</v>
      </c>
      <c r="U34" s="823">
        <f t="shared" si="4"/>
        <v>361.9</v>
      </c>
      <c r="V34"/>
      <c r="W34"/>
      <c r="X34"/>
      <c r="Y34"/>
      <c r="Z34"/>
      <c r="AA34"/>
      <c r="AB34"/>
      <c r="AC34"/>
      <c r="AD34"/>
      <c r="AE34"/>
      <c r="AF34"/>
      <c r="AG34"/>
      <c r="AH34"/>
      <c r="AI34"/>
      <c r="AJ34"/>
      <c r="AK34"/>
      <c r="AL34"/>
      <c r="AM34"/>
      <c r="AN34"/>
      <c r="AO34"/>
      <c r="AP34"/>
      <c r="AQ34"/>
      <c r="AR34"/>
      <c r="AS34"/>
      <c r="AT34"/>
      <c r="AU34"/>
      <c r="AV34"/>
      <c r="AW34"/>
      <c r="AX34"/>
      <c r="AY34"/>
    </row>
    <row r="35" spans="1:51" s="125" customFormat="1" ht="20.25" customHeight="1">
      <c r="A35" s="129" t="s">
        <v>103</v>
      </c>
      <c r="B35" s="174"/>
      <c r="C35" s="322"/>
      <c r="D35" s="174"/>
      <c r="E35" s="322"/>
      <c r="F35" s="174"/>
      <c r="G35" s="322"/>
      <c r="H35" s="174"/>
      <c r="I35" s="322"/>
      <c r="J35" s="174"/>
      <c r="K35" s="322"/>
      <c r="L35" s="174">
        <v>3</v>
      </c>
      <c r="M35" s="322">
        <v>271.2</v>
      </c>
      <c r="N35" s="174"/>
      <c r="O35" s="322"/>
      <c r="P35" s="174"/>
      <c r="Q35" s="322"/>
      <c r="R35" s="174"/>
      <c r="S35" s="322"/>
      <c r="T35" s="337">
        <f t="shared" si="4"/>
        <v>3</v>
      </c>
      <c r="U35" s="825">
        <f t="shared" si="4"/>
        <v>271.2</v>
      </c>
      <c r="V35"/>
      <c r="W35"/>
      <c r="X35"/>
      <c r="Y35"/>
      <c r="Z35"/>
      <c r="AA35"/>
      <c r="AB35"/>
      <c r="AC35"/>
      <c r="AD35"/>
      <c r="AE35"/>
      <c r="AF35"/>
      <c r="AG35"/>
      <c r="AH35"/>
      <c r="AI35"/>
      <c r="AJ35"/>
      <c r="AK35"/>
      <c r="AL35"/>
      <c r="AM35"/>
      <c r="AN35"/>
      <c r="AO35"/>
      <c r="AP35"/>
      <c r="AQ35"/>
      <c r="AR35"/>
      <c r="AS35"/>
      <c r="AT35"/>
      <c r="AU35"/>
      <c r="AV35"/>
      <c r="AW35"/>
      <c r="AX35"/>
      <c r="AY35"/>
    </row>
    <row r="36" spans="1:51" s="125" customFormat="1" ht="22.5" customHeight="1" thickBot="1">
      <c r="A36" s="1024" t="s">
        <v>545</v>
      </c>
      <c r="B36" s="1025">
        <v>2</v>
      </c>
      <c r="C36" s="1026">
        <v>247.6</v>
      </c>
      <c r="D36" s="1025"/>
      <c r="E36" s="1026"/>
      <c r="F36" s="1025">
        <v>1</v>
      </c>
      <c r="G36" s="1026">
        <v>69.8</v>
      </c>
      <c r="H36" s="1025">
        <v>7</v>
      </c>
      <c r="I36" s="1026">
        <v>576.2</v>
      </c>
      <c r="J36" s="1025"/>
      <c r="K36" s="1026"/>
      <c r="L36" s="1025"/>
      <c r="M36" s="1026"/>
      <c r="N36" s="1025"/>
      <c r="O36" s="1026"/>
      <c r="P36" s="1025">
        <v>2</v>
      </c>
      <c r="Q36" s="1026">
        <v>98.6</v>
      </c>
      <c r="R36" s="1025"/>
      <c r="S36" s="1026"/>
      <c r="T36" s="337">
        <f t="shared" si="4"/>
        <v>12</v>
      </c>
      <c r="U36" s="825">
        <f t="shared" si="4"/>
        <v>992.2</v>
      </c>
      <c r="V36"/>
      <c r="W36"/>
      <c r="X36"/>
      <c r="Y36"/>
      <c r="Z36"/>
      <c r="AA36"/>
      <c r="AB36"/>
      <c r="AC36"/>
      <c r="AD36"/>
      <c r="AE36"/>
      <c r="AF36"/>
      <c r="AG36"/>
      <c r="AH36"/>
      <c r="AI36"/>
      <c r="AJ36"/>
      <c r="AK36"/>
      <c r="AL36"/>
      <c r="AM36"/>
      <c r="AN36"/>
      <c r="AO36"/>
      <c r="AP36"/>
      <c r="AQ36"/>
      <c r="AR36"/>
      <c r="AS36"/>
      <c r="AT36"/>
      <c r="AU36"/>
      <c r="AV36"/>
      <c r="AW36"/>
      <c r="AX36"/>
      <c r="AY36"/>
    </row>
    <row r="37" spans="1:51" s="125" customFormat="1" ht="23.25" customHeight="1" thickBot="1">
      <c r="A37" s="133" t="s">
        <v>507</v>
      </c>
      <c r="B37" s="134">
        <f aca="true" t="shared" si="5" ref="B37:U37">SUM(B5:B36)</f>
        <v>86</v>
      </c>
      <c r="C37" s="770">
        <f t="shared" si="5"/>
        <v>6394.3</v>
      </c>
      <c r="D37" s="134">
        <f t="shared" si="5"/>
        <v>25</v>
      </c>
      <c r="E37" s="770">
        <f t="shared" si="5"/>
        <v>2926.2</v>
      </c>
      <c r="F37" s="134">
        <f t="shared" si="5"/>
        <v>10</v>
      </c>
      <c r="G37" s="770">
        <f t="shared" si="5"/>
        <v>899.0999999999999</v>
      </c>
      <c r="H37" s="134">
        <f t="shared" si="5"/>
        <v>62</v>
      </c>
      <c r="I37" s="770">
        <f t="shared" si="5"/>
        <v>4779.599999999999</v>
      </c>
      <c r="J37" s="134">
        <f t="shared" si="5"/>
        <v>5</v>
      </c>
      <c r="K37" s="770">
        <f t="shared" si="5"/>
        <v>239.5</v>
      </c>
      <c r="L37" s="134">
        <f t="shared" si="5"/>
        <v>17</v>
      </c>
      <c r="M37" s="770">
        <f t="shared" si="5"/>
        <v>1807.8</v>
      </c>
      <c r="N37" s="134">
        <f t="shared" si="5"/>
        <v>0</v>
      </c>
      <c r="O37" s="770">
        <f t="shared" si="5"/>
        <v>60.4</v>
      </c>
      <c r="P37" s="134">
        <f t="shared" si="5"/>
        <v>28</v>
      </c>
      <c r="Q37" s="770">
        <f t="shared" si="5"/>
        <v>1039.8</v>
      </c>
      <c r="R37" s="134">
        <f t="shared" si="5"/>
        <v>22</v>
      </c>
      <c r="S37" s="770">
        <f t="shared" si="5"/>
        <v>1080.7</v>
      </c>
      <c r="T37" s="134">
        <f t="shared" si="5"/>
        <v>255</v>
      </c>
      <c r="U37" s="770">
        <f t="shared" si="5"/>
        <v>19227.400000000005</v>
      </c>
      <c r="V37"/>
      <c r="W37"/>
      <c r="X37"/>
      <c r="Y37"/>
      <c r="Z37"/>
      <c r="AA37"/>
      <c r="AB37"/>
      <c r="AC37"/>
      <c r="AD37"/>
      <c r="AE37"/>
      <c r="AF37"/>
      <c r="AG37"/>
      <c r="AH37"/>
      <c r="AI37"/>
      <c r="AJ37"/>
      <c r="AK37"/>
      <c r="AL37"/>
      <c r="AM37"/>
      <c r="AN37"/>
      <c r="AO37"/>
      <c r="AP37"/>
      <c r="AQ37"/>
      <c r="AR37"/>
      <c r="AS37"/>
      <c r="AT37"/>
      <c r="AU37"/>
      <c r="AV37"/>
      <c r="AW37"/>
      <c r="AX37"/>
      <c r="AY37"/>
    </row>
    <row r="38" spans="1:21" ht="18.75" customHeight="1">
      <c r="A38" s="9" t="s">
        <v>541</v>
      </c>
      <c r="C38" s="325"/>
      <c r="E38" s="325"/>
      <c r="G38" s="325"/>
      <c r="H38" s="65"/>
      <c r="I38" s="330"/>
      <c r="K38" s="325"/>
      <c r="L38" s="65"/>
      <c r="M38" s="330"/>
      <c r="N38" s="65"/>
      <c r="O38" s="330"/>
      <c r="Q38" s="325"/>
      <c r="S38" s="325"/>
      <c r="U38" s="325"/>
    </row>
    <row r="39" spans="3:21" s="57" customFormat="1" ht="18" customHeight="1">
      <c r="C39" s="326"/>
      <c r="E39" s="326"/>
      <c r="G39" s="326"/>
      <c r="I39" s="326"/>
      <c r="K39" s="326"/>
      <c r="M39" s="326"/>
      <c r="O39" s="326"/>
      <c r="Q39" s="326"/>
      <c r="S39" s="326"/>
      <c r="U39" s="326"/>
    </row>
    <row r="40" spans="3:21" s="57" customFormat="1" ht="15.75" customHeight="1">
      <c r="C40" s="326"/>
      <c r="E40" s="326"/>
      <c r="G40" s="326"/>
      <c r="I40" s="326"/>
      <c r="K40" s="326"/>
      <c r="M40" s="326"/>
      <c r="O40" s="326"/>
      <c r="Q40" s="326"/>
      <c r="S40" s="326"/>
      <c r="U40" s="326"/>
    </row>
    <row r="41" spans="3:24" s="57" customFormat="1" ht="15.75" customHeight="1">
      <c r="C41" s="326"/>
      <c r="E41" s="326"/>
      <c r="G41" s="326"/>
      <c r="I41" s="326"/>
      <c r="K41" s="326"/>
      <c r="M41" s="326"/>
      <c r="O41" s="326"/>
      <c r="Q41" s="326"/>
      <c r="S41" s="326"/>
      <c r="U41" s="326"/>
      <c r="X41" s="227"/>
    </row>
    <row r="42" spans="3:21" s="57" customFormat="1" ht="15.75" customHeight="1">
      <c r="C42" s="326"/>
      <c r="E42" s="326"/>
      <c r="G42" s="326"/>
      <c r="I42" s="326"/>
      <c r="K42" s="326"/>
      <c r="M42" s="326"/>
      <c r="O42" s="326"/>
      <c r="Q42" s="326"/>
      <c r="S42" s="326"/>
      <c r="U42" s="326"/>
    </row>
    <row r="43" spans="3:21" s="57" customFormat="1" ht="15.75" customHeight="1">
      <c r="C43" s="326"/>
      <c r="E43" s="326"/>
      <c r="G43" s="326"/>
      <c r="I43" s="326"/>
      <c r="K43" s="326"/>
      <c r="M43" s="326"/>
      <c r="O43" s="326"/>
      <c r="Q43" s="326"/>
      <c r="S43" s="326"/>
      <c r="U43" s="326"/>
    </row>
    <row r="44" spans="3:21" s="57" customFormat="1" ht="15.75" customHeight="1">
      <c r="C44" s="326"/>
      <c r="E44" s="326"/>
      <c r="G44" s="326"/>
      <c r="I44" s="326"/>
      <c r="K44" s="326"/>
      <c r="M44" s="326"/>
      <c r="O44" s="326"/>
      <c r="Q44" s="326"/>
      <c r="S44" s="326"/>
      <c r="U44" s="326"/>
    </row>
    <row r="45" spans="3:21" s="57" customFormat="1" ht="15.75" customHeight="1">
      <c r="C45" s="326"/>
      <c r="E45" s="326"/>
      <c r="G45" s="326"/>
      <c r="I45" s="326"/>
      <c r="K45" s="326"/>
      <c r="M45" s="326"/>
      <c r="O45" s="326"/>
      <c r="Q45" s="326"/>
      <c r="S45" s="326"/>
      <c r="U45" s="326"/>
    </row>
    <row r="46" spans="3:21" s="57" customFormat="1" ht="15.75" customHeight="1">
      <c r="C46" s="326"/>
      <c r="E46" s="326"/>
      <c r="G46" s="326"/>
      <c r="I46" s="326"/>
      <c r="K46" s="326"/>
      <c r="M46" s="326"/>
      <c r="O46" s="326"/>
      <c r="Q46" s="326"/>
      <c r="S46" s="326"/>
      <c r="U46" s="326"/>
    </row>
    <row r="47" spans="3:21" s="57" customFormat="1" ht="15.75" customHeight="1">
      <c r="C47" s="326"/>
      <c r="E47" s="326"/>
      <c r="G47" s="326"/>
      <c r="I47" s="326"/>
      <c r="K47" s="326"/>
      <c r="M47" s="326"/>
      <c r="O47" s="326"/>
      <c r="Q47" s="326"/>
      <c r="S47" s="326"/>
      <c r="U47" s="326"/>
    </row>
    <row r="48" spans="3:21" s="57" customFormat="1" ht="15.75" customHeight="1">
      <c r="C48" s="326"/>
      <c r="E48" s="326"/>
      <c r="G48" s="326"/>
      <c r="I48" s="326"/>
      <c r="K48" s="326"/>
      <c r="M48" s="326"/>
      <c r="O48" s="326"/>
      <c r="Q48" s="326"/>
      <c r="S48" s="326"/>
      <c r="U48" s="326"/>
    </row>
    <row r="49" spans="3:21" s="57" customFormat="1" ht="15.75" customHeight="1">
      <c r="C49" s="326"/>
      <c r="E49" s="326"/>
      <c r="G49" s="326"/>
      <c r="I49" s="326"/>
      <c r="K49" s="326"/>
      <c r="M49" s="326"/>
      <c r="O49" s="326"/>
      <c r="Q49" s="326"/>
      <c r="S49" s="326"/>
      <c r="U49" s="326"/>
    </row>
    <row r="50" spans="3:21" s="57" customFormat="1" ht="15.75" customHeight="1">
      <c r="C50" s="326"/>
      <c r="E50" s="326"/>
      <c r="G50" s="326"/>
      <c r="I50" s="326"/>
      <c r="K50" s="326"/>
      <c r="M50" s="326"/>
      <c r="O50" s="326"/>
      <c r="Q50" s="326"/>
      <c r="S50" s="326"/>
      <c r="U50" s="326"/>
    </row>
    <row r="51" spans="3:21" s="57" customFormat="1" ht="17.25" customHeight="1">
      <c r="C51" s="326"/>
      <c r="E51" s="326"/>
      <c r="G51" s="326"/>
      <c r="I51" s="326"/>
      <c r="K51" s="326"/>
      <c r="M51" s="326"/>
      <c r="O51" s="326"/>
      <c r="Q51" s="326"/>
      <c r="S51" s="326"/>
      <c r="U51" s="326"/>
    </row>
    <row r="52" spans="3:21" ht="15.75" customHeight="1">
      <c r="C52" s="325"/>
      <c r="E52" s="325"/>
      <c r="G52" s="325"/>
      <c r="H52" s="65"/>
      <c r="I52" s="330"/>
      <c r="K52" s="325"/>
      <c r="L52" s="65"/>
      <c r="M52" s="330"/>
      <c r="N52" s="65"/>
      <c r="O52" s="330"/>
      <c r="Q52" s="325"/>
      <c r="S52" s="325"/>
      <c r="U52" s="325"/>
    </row>
    <row r="53" spans="3:21" ht="18.75" customHeight="1">
      <c r="C53" s="325"/>
      <c r="E53" s="325"/>
      <c r="G53" s="325"/>
      <c r="H53" s="65"/>
      <c r="I53" s="330"/>
      <c r="K53" s="325"/>
      <c r="L53" s="65"/>
      <c r="M53" s="330"/>
      <c r="N53" s="65"/>
      <c r="O53" s="330"/>
      <c r="Q53" s="325"/>
      <c r="S53" s="325"/>
      <c r="U53" s="325"/>
    </row>
    <row r="54" spans="3:21" ht="21.75" customHeight="1">
      <c r="C54" s="325"/>
      <c r="E54" s="325"/>
      <c r="G54" s="325"/>
      <c r="H54" s="65"/>
      <c r="I54" s="330"/>
      <c r="K54" s="325"/>
      <c r="L54" s="65"/>
      <c r="M54" s="330"/>
      <c r="N54" s="65"/>
      <c r="O54" s="330"/>
      <c r="Q54" s="325"/>
      <c r="S54" s="325"/>
      <c r="U54" s="325"/>
    </row>
    <row r="55" spans="3:21" ht="19.5" customHeight="1">
      <c r="C55" s="325"/>
      <c r="E55" s="325"/>
      <c r="G55" s="325"/>
      <c r="H55" s="65"/>
      <c r="I55" s="330"/>
      <c r="K55" s="325"/>
      <c r="L55" s="65"/>
      <c r="M55" s="330"/>
      <c r="N55" s="65"/>
      <c r="O55" s="330"/>
      <c r="Q55" s="325"/>
      <c r="S55" s="325"/>
      <c r="U55" s="325"/>
    </row>
    <row r="56" spans="3:21" ht="18" customHeight="1">
      <c r="C56" s="325"/>
      <c r="E56" s="325"/>
      <c r="G56" s="325"/>
      <c r="H56" s="65"/>
      <c r="I56" s="330"/>
      <c r="K56" s="325"/>
      <c r="L56" s="65"/>
      <c r="M56" s="330"/>
      <c r="N56" s="65"/>
      <c r="O56" s="330"/>
      <c r="Q56" s="325"/>
      <c r="S56" s="325"/>
      <c r="U56" s="325"/>
    </row>
    <row r="57" spans="3:21" ht="15.75" customHeight="1">
      <c r="C57" s="325"/>
      <c r="E57" s="325"/>
      <c r="G57" s="325"/>
      <c r="H57" s="65"/>
      <c r="I57" s="330"/>
      <c r="K57" s="325"/>
      <c r="L57" s="65"/>
      <c r="M57" s="330"/>
      <c r="N57" s="65"/>
      <c r="O57" s="330"/>
      <c r="Q57" s="325"/>
      <c r="S57" s="325"/>
      <c r="U57" s="325"/>
    </row>
    <row r="58" spans="3:21" ht="19.5" customHeight="1">
      <c r="C58" s="325"/>
      <c r="E58" s="325"/>
      <c r="G58" s="325"/>
      <c r="H58" s="65"/>
      <c r="I58" s="330"/>
      <c r="K58" s="325"/>
      <c r="L58" s="65"/>
      <c r="M58" s="330"/>
      <c r="N58" s="65"/>
      <c r="O58" s="330"/>
      <c r="Q58" s="325"/>
      <c r="S58" s="325"/>
      <c r="U58" s="325"/>
    </row>
    <row r="59" spans="3:21" ht="20.25" customHeight="1">
      <c r="C59" s="325"/>
      <c r="E59" s="325"/>
      <c r="G59" s="325"/>
      <c r="H59" s="65"/>
      <c r="I59" s="330"/>
      <c r="K59" s="325"/>
      <c r="L59" s="65"/>
      <c r="M59" s="330"/>
      <c r="N59" s="65"/>
      <c r="O59" s="330"/>
      <c r="Q59" s="325"/>
      <c r="S59" s="325"/>
      <c r="U59" s="325"/>
    </row>
    <row r="60" spans="3:21" ht="18.75" customHeight="1">
      <c r="C60" s="325"/>
      <c r="E60" s="325"/>
      <c r="G60" s="325"/>
      <c r="H60" s="65"/>
      <c r="I60" s="330"/>
      <c r="K60" s="325"/>
      <c r="L60" s="65"/>
      <c r="M60" s="330"/>
      <c r="N60" s="65"/>
      <c r="O60" s="330"/>
      <c r="Q60" s="325"/>
      <c r="S60" s="325"/>
      <c r="U60" s="325"/>
    </row>
    <row r="61" spans="3:21" ht="15.75" customHeight="1">
      <c r="C61" s="325"/>
      <c r="E61" s="325"/>
      <c r="G61" s="325"/>
      <c r="H61" s="65"/>
      <c r="I61" s="330"/>
      <c r="K61" s="325"/>
      <c r="L61" s="65"/>
      <c r="M61" s="330"/>
      <c r="N61" s="65"/>
      <c r="O61" s="330"/>
      <c r="Q61" s="325"/>
      <c r="S61" s="325"/>
      <c r="U61" s="325"/>
    </row>
    <row r="62" spans="3:21" ht="15.75" customHeight="1">
      <c r="C62" s="325"/>
      <c r="E62" s="325"/>
      <c r="G62" s="325"/>
      <c r="H62" s="65"/>
      <c r="I62" s="330"/>
      <c r="K62" s="325"/>
      <c r="L62" s="65"/>
      <c r="M62" s="330"/>
      <c r="N62" s="65"/>
      <c r="O62" s="330"/>
      <c r="Q62" s="325"/>
      <c r="S62" s="325"/>
      <c r="U62" s="325"/>
    </row>
    <row r="63" spans="3:21" ht="15.75" customHeight="1">
      <c r="C63" s="325"/>
      <c r="E63" s="325"/>
      <c r="G63" s="325"/>
      <c r="H63" s="65"/>
      <c r="I63" s="330"/>
      <c r="K63" s="325"/>
      <c r="L63" s="65"/>
      <c r="M63" s="330"/>
      <c r="N63" s="65"/>
      <c r="O63" s="330"/>
      <c r="Q63" s="325"/>
      <c r="S63" s="325"/>
      <c r="U63" s="325"/>
    </row>
    <row r="64" spans="3:21" ht="15.75" customHeight="1">
      <c r="C64" s="325"/>
      <c r="E64" s="325"/>
      <c r="G64" s="325"/>
      <c r="H64" s="65"/>
      <c r="I64" s="330"/>
      <c r="K64" s="325"/>
      <c r="L64" s="65"/>
      <c r="M64" s="330"/>
      <c r="N64" s="65"/>
      <c r="O64" s="330"/>
      <c r="Q64" s="325"/>
      <c r="S64" s="325"/>
      <c r="U64" s="325"/>
    </row>
    <row r="65" spans="3:21" ht="15.75" customHeight="1">
      <c r="C65" s="325"/>
      <c r="E65" s="325"/>
      <c r="G65" s="325"/>
      <c r="H65" s="65"/>
      <c r="I65" s="330"/>
      <c r="K65" s="325"/>
      <c r="L65" s="65"/>
      <c r="M65" s="330"/>
      <c r="N65" s="65"/>
      <c r="O65" s="330"/>
      <c r="Q65" s="325"/>
      <c r="S65" s="325"/>
      <c r="U65" s="325"/>
    </row>
    <row r="66" spans="3:21" ht="15.75" customHeight="1">
      <c r="C66" s="325"/>
      <c r="E66" s="325"/>
      <c r="G66" s="325"/>
      <c r="H66" s="65"/>
      <c r="I66" s="330"/>
      <c r="K66" s="325"/>
      <c r="L66" s="65"/>
      <c r="M66" s="330"/>
      <c r="N66" s="65"/>
      <c r="O66" s="330"/>
      <c r="Q66" s="325"/>
      <c r="S66" s="325"/>
      <c r="U66" s="325"/>
    </row>
    <row r="67" spans="3:21" ht="15.75" customHeight="1">
      <c r="C67" s="325"/>
      <c r="E67" s="325"/>
      <c r="G67" s="325"/>
      <c r="H67" s="65"/>
      <c r="I67" s="330"/>
      <c r="K67" s="325"/>
      <c r="L67" s="65"/>
      <c r="M67" s="330"/>
      <c r="N67" s="65"/>
      <c r="O67" s="330"/>
      <c r="Q67" s="325"/>
      <c r="S67" s="325"/>
      <c r="U67" s="325"/>
    </row>
    <row r="68" spans="3:21" ht="15.75" customHeight="1">
      <c r="C68" s="325"/>
      <c r="E68" s="325"/>
      <c r="G68" s="325"/>
      <c r="H68" s="65"/>
      <c r="I68" s="330"/>
      <c r="K68" s="325"/>
      <c r="L68" s="65"/>
      <c r="M68" s="330"/>
      <c r="N68" s="65"/>
      <c r="O68" s="330"/>
      <c r="Q68" s="325"/>
      <c r="S68" s="325"/>
      <c r="U68" s="325"/>
    </row>
    <row r="69" spans="3:21" ht="15.75" customHeight="1">
      <c r="C69" s="325"/>
      <c r="E69" s="325"/>
      <c r="G69" s="325"/>
      <c r="H69" s="65"/>
      <c r="I69" s="330"/>
      <c r="K69" s="325"/>
      <c r="L69" s="65"/>
      <c r="M69" s="330"/>
      <c r="N69" s="65"/>
      <c r="O69" s="330"/>
      <c r="Q69" s="325"/>
      <c r="S69" s="325"/>
      <c r="U69" s="325"/>
    </row>
    <row r="70" spans="3:21" ht="15.75" customHeight="1">
      <c r="C70" s="325"/>
      <c r="E70" s="325"/>
      <c r="G70" s="325"/>
      <c r="H70" s="65"/>
      <c r="I70" s="330"/>
      <c r="K70" s="325"/>
      <c r="L70" s="65"/>
      <c r="M70" s="330"/>
      <c r="N70" s="65"/>
      <c r="O70" s="330"/>
      <c r="Q70" s="325"/>
      <c r="S70" s="325"/>
      <c r="U70" s="325"/>
    </row>
    <row r="71" spans="3:21" ht="15.75" customHeight="1">
      <c r="C71" s="325"/>
      <c r="E71" s="325"/>
      <c r="G71" s="325"/>
      <c r="H71" s="65"/>
      <c r="I71" s="330"/>
      <c r="K71" s="325"/>
      <c r="L71" s="65"/>
      <c r="M71" s="330"/>
      <c r="N71" s="65"/>
      <c r="O71" s="330"/>
      <c r="Q71" s="325"/>
      <c r="S71" s="325"/>
      <c r="U71" s="325"/>
    </row>
    <row r="72" spans="3:21" ht="15.75" customHeight="1">
      <c r="C72" s="325"/>
      <c r="E72" s="325"/>
      <c r="G72" s="325"/>
      <c r="H72" s="65"/>
      <c r="I72" s="330"/>
      <c r="K72" s="325"/>
      <c r="L72" s="65"/>
      <c r="M72" s="330"/>
      <c r="N72" s="65"/>
      <c r="O72" s="330"/>
      <c r="Q72" s="325"/>
      <c r="S72" s="325"/>
      <c r="U72" s="325"/>
    </row>
    <row r="73" spans="3:21" ht="15.75" customHeight="1">
      <c r="C73" s="325"/>
      <c r="E73" s="325"/>
      <c r="G73" s="325"/>
      <c r="H73" s="65"/>
      <c r="I73" s="330"/>
      <c r="K73" s="325"/>
      <c r="L73" s="65"/>
      <c r="M73" s="330"/>
      <c r="N73" s="65"/>
      <c r="O73" s="330"/>
      <c r="Q73" s="325"/>
      <c r="S73" s="325"/>
      <c r="U73" s="325"/>
    </row>
    <row r="74" spans="3:21" ht="15.75" customHeight="1">
      <c r="C74" s="325"/>
      <c r="E74" s="325"/>
      <c r="G74" s="325"/>
      <c r="H74" s="65"/>
      <c r="I74" s="330"/>
      <c r="K74" s="325"/>
      <c r="L74" s="65"/>
      <c r="M74" s="330"/>
      <c r="N74" s="65"/>
      <c r="O74" s="330"/>
      <c r="Q74" s="325"/>
      <c r="S74" s="325"/>
      <c r="U74" s="325"/>
    </row>
    <row r="75" spans="3:21" ht="15.75" customHeight="1">
      <c r="C75" s="325"/>
      <c r="E75" s="325"/>
      <c r="G75" s="325"/>
      <c r="H75" s="65"/>
      <c r="I75" s="330"/>
      <c r="K75" s="325"/>
      <c r="L75" s="65"/>
      <c r="M75" s="330"/>
      <c r="N75" s="65"/>
      <c r="O75" s="330"/>
      <c r="Q75" s="325"/>
      <c r="S75" s="325"/>
      <c r="U75" s="325"/>
    </row>
    <row r="76" spans="3:21" ht="15.75" customHeight="1">
      <c r="C76" s="325"/>
      <c r="E76" s="325"/>
      <c r="G76" s="325"/>
      <c r="H76" s="65"/>
      <c r="I76" s="330"/>
      <c r="K76" s="325"/>
      <c r="L76" s="65"/>
      <c r="M76" s="330"/>
      <c r="N76" s="65"/>
      <c r="O76" s="330"/>
      <c r="Q76" s="325"/>
      <c r="S76" s="325"/>
      <c r="U76" s="325"/>
    </row>
    <row r="77" spans="3:21" ht="15.75" customHeight="1">
      <c r="C77" s="325"/>
      <c r="E77" s="325"/>
      <c r="G77" s="325"/>
      <c r="H77" s="65"/>
      <c r="I77" s="330"/>
      <c r="K77" s="325"/>
      <c r="L77" s="65"/>
      <c r="M77" s="330"/>
      <c r="N77" s="65"/>
      <c r="O77" s="330"/>
      <c r="Q77" s="325"/>
      <c r="S77" s="325"/>
      <c r="U77" s="325"/>
    </row>
    <row r="78" spans="3:21" ht="15.75" customHeight="1">
      <c r="C78" s="325"/>
      <c r="E78" s="325"/>
      <c r="G78" s="325"/>
      <c r="H78" s="65"/>
      <c r="I78" s="330"/>
      <c r="K78" s="325"/>
      <c r="L78" s="65"/>
      <c r="M78" s="330"/>
      <c r="N78" s="65"/>
      <c r="O78" s="330"/>
      <c r="Q78" s="325"/>
      <c r="S78" s="325"/>
      <c r="U78" s="325"/>
    </row>
    <row r="79" spans="3:21" ht="15.75" customHeight="1">
      <c r="C79" s="325"/>
      <c r="E79" s="325"/>
      <c r="G79" s="325"/>
      <c r="H79" s="65"/>
      <c r="I79" s="330"/>
      <c r="K79" s="325"/>
      <c r="L79" s="65"/>
      <c r="M79" s="330"/>
      <c r="N79" s="65"/>
      <c r="O79" s="330"/>
      <c r="Q79" s="325"/>
      <c r="S79" s="325"/>
      <c r="U79" s="325"/>
    </row>
    <row r="80" spans="3:21" ht="15.75" customHeight="1">
      <c r="C80" s="325"/>
      <c r="E80" s="325"/>
      <c r="G80" s="325"/>
      <c r="H80" s="65"/>
      <c r="I80" s="330"/>
      <c r="K80" s="325"/>
      <c r="L80" s="65"/>
      <c r="M80" s="330"/>
      <c r="N80" s="65"/>
      <c r="O80" s="330"/>
      <c r="Q80" s="325"/>
      <c r="S80" s="325"/>
      <c r="U80" s="325"/>
    </row>
    <row r="81" spans="3:21" ht="15.75" customHeight="1">
      <c r="C81" s="325"/>
      <c r="E81" s="325"/>
      <c r="G81" s="325"/>
      <c r="H81" s="65"/>
      <c r="I81" s="330"/>
      <c r="K81" s="325"/>
      <c r="L81" s="65"/>
      <c r="M81" s="330"/>
      <c r="N81" s="65"/>
      <c r="O81" s="330"/>
      <c r="Q81" s="325"/>
      <c r="S81" s="325"/>
      <c r="U81" s="325"/>
    </row>
    <row r="82" spans="3:21" ht="15.75" customHeight="1">
      <c r="C82" s="325"/>
      <c r="E82" s="325"/>
      <c r="G82" s="325"/>
      <c r="H82" s="65"/>
      <c r="I82" s="330"/>
      <c r="K82" s="325"/>
      <c r="L82" s="65"/>
      <c r="M82" s="330"/>
      <c r="N82" s="65"/>
      <c r="O82" s="330"/>
      <c r="Q82" s="325"/>
      <c r="S82" s="325"/>
      <c r="U82" s="325"/>
    </row>
    <row r="83" spans="3:21" ht="15.75" customHeight="1">
      <c r="C83" s="325"/>
      <c r="E83" s="325"/>
      <c r="G83" s="325"/>
      <c r="H83" s="65"/>
      <c r="I83" s="330"/>
      <c r="K83" s="325"/>
      <c r="L83" s="65"/>
      <c r="M83" s="330"/>
      <c r="N83" s="65"/>
      <c r="O83" s="330"/>
      <c r="Q83" s="325"/>
      <c r="S83" s="325"/>
      <c r="U83" s="325"/>
    </row>
    <row r="84" spans="3:21" ht="17.25" customHeight="1">
      <c r="C84" s="325"/>
      <c r="E84" s="325"/>
      <c r="G84" s="325"/>
      <c r="H84" s="65"/>
      <c r="I84" s="330"/>
      <c r="K84" s="325"/>
      <c r="L84" s="65"/>
      <c r="M84" s="330"/>
      <c r="N84" s="65"/>
      <c r="O84" s="330"/>
      <c r="Q84" s="325"/>
      <c r="S84" s="325"/>
      <c r="U84" s="325"/>
    </row>
    <row r="85" spans="3:21" ht="17.25" customHeight="1">
      <c r="C85" s="325"/>
      <c r="E85" s="325"/>
      <c r="G85" s="325"/>
      <c r="H85" s="65"/>
      <c r="I85" s="330"/>
      <c r="K85" s="325"/>
      <c r="L85" s="65"/>
      <c r="M85" s="330"/>
      <c r="N85" s="65"/>
      <c r="O85" s="330"/>
      <c r="Q85" s="325"/>
      <c r="S85" s="325"/>
      <c r="U85" s="325"/>
    </row>
    <row r="86" spans="3:21" ht="18" customHeight="1">
      <c r="C86" s="325"/>
      <c r="E86" s="325"/>
      <c r="G86" s="325"/>
      <c r="H86" s="65"/>
      <c r="I86" s="330"/>
      <c r="K86" s="325"/>
      <c r="L86" s="65"/>
      <c r="M86" s="330"/>
      <c r="N86" s="65"/>
      <c r="O86" s="330"/>
      <c r="Q86" s="325"/>
      <c r="S86" s="325"/>
      <c r="U86" s="325"/>
    </row>
    <row r="87" spans="3:21" ht="18.75" customHeight="1">
      <c r="C87" s="325"/>
      <c r="E87" s="325"/>
      <c r="G87" s="325"/>
      <c r="H87" s="65"/>
      <c r="I87" s="330"/>
      <c r="K87" s="325"/>
      <c r="L87" s="65"/>
      <c r="M87" s="330"/>
      <c r="N87" s="65"/>
      <c r="O87" s="330"/>
      <c r="Q87" s="325"/>
      <c r="S87" s="325"/>
      <c r="U87" s="325"/>
    </row>
    <row r="88" spans="3:21" ht="15.75" customHeight="1">
      <c r="C88" s="325"/>
      <c r="E88" s="325"/>
      <c r="G88" s="325"/>
      <c r="H88" s="65"/>
      <c r="I88" s="330"/>
      <c r="K88" s="325"/>
      <c r="L88" s="65"/>
      <c r="M88" s="330"/>
      <c r="N88" s="65"/>
      <c r="O88" s="330"/>
      <c r="Q88" s="325"/>
      <c r="S88" s="325"/>
      <c r="U88" s="325"/>
    </row>
    <row r="89" spans="3:21" ht="15.75" customHeight="1">
      <c r="C89" s="325"/>
      <c r="E89" s="325"/>
      <c r="G89" s="325"/>
      <c r="H89" s="65"/>
      <c r="I89" s="330"/>
      <c r="K89" s="325"/>
      <c r="L89" s="65"/>
      <c r="M89" s="330"/>
      <c r="N89" s="65"/>
      <c r="O89" s="330"/>
      <c r="Q89" s="325"/>
      <c r="S89" s="325"/>
      <c r="U89" s="325"/>
    </row>
    <row r="90" spans="3:21" ht="15.75" customHeight="1">
      <c r="C90" s="325"/>
      <c r="E90" s="325"/>
      <c r="G90" s="325"/>
      <c r="H90" s="65"/>
      <c r="I90" s="330"/>
      <c r="K90" s="325"/>
      <c r="L90" s="65"/>
      <c r="M90" s="330"/>
      <c r="N90" s="65"/>
      <c r="O90" s="330"/>
      <c r="Q90" s="325"/>
      <c r="S90" s="325"/>
      <c r="U90" s="325"/>
    </row>
    <row r="91" spans="3:21" ht="15.75" customHeight="1">
      <c r="C91" s="325"/>
      <c r="E91" s="325"/>
      <c r="G91" s="325"/>
      <c r="H91" s="65"/>
      <c r="I91" s="330"/>
      <c r="K91" s="325"/>
      <c r="L91" s="65"/>
      <c r="M91" s="330"/>
      <c r="N91" s="65"/>
      <c r="O91" s="330"/>
      <c r="Q91" s="325"/>
      <c r="S91" s="325"/>
      <c r="U91" s="325"/>
    </row>
    <row r="92" spans="3:21" ht="15.75" customHeight="1">
      <c r="C92" s="325"/>
      <c r="E92" s="325"/>
      <c r="G92" s="325"/>
      <c r="H92" s="65"/>
      <c r="I92" s="330"/>
      <c r="K92" s="325"/>
      <c r="L92" s="65"/>
      <c r="M92" s="330"/>
      <c r="N92" s="65"/>
      <c r="O92" s="330"/>
      <c r="Q92" s="325"/>
      <c r="S92" s="325"/>
      <c r="U92" s="325"/>
    </row>
    <row r="93" spans="3:21" ht="15.75" customHeight="1">
      <c r="C93" s="325"/>
      <c r="E93" s="325"/>
      <c r="G93" s="325"/>
      <c r="H93" s="65"/>
      <c r="I93" s="330"/>
      <c r="K93" s="325"/>
      <c r="L93" s="65"/>
      <c r="M93" s="330"/>
      <c r="N93" s="65"/>
      <c r="O93" s="330"/>
      <c r="Q93" s="325"/>
      <c r="S93" s="325"/>
      <c r="U93" s="325"/>
    </row>
    <row r="94" spans="3:21" ht="15.75" customHeight="1">
      <c r="C94" s="325"/>
      <c r="E94" s="325"/>
      <c r="G94" s="325"/>
      <c r="H94" s="65"/>
      <c r="I94" s="330"/>
      <c r="K94" s="325"/>
      <c r="L94" s="65"/>
      <c r="M94" s="330"/>
      <c r="N94" s="65"/>
      <c r="O94" s="330"/>
      <c r="Q94" s="325"/>
      <c r="S94" s="325"/>
      <c r="U94" s="325"/>
    </row>
    <row r="95" spans="3:21" ht="15.75" customHeight="1">
      <c r="C95" s="325"/>
      <c r="E95" s="325"/>
      <c r="G95" s="325"/>
      <c r="H95" s="65"/>
      <c r="I95" s="330"/>
      <c r="K95" s="325"/>
      <c r="L95" s="65"/>
      <c r="M95" s="330"/>
      <c r="N95" s="65"/>
      <c r="O95" s="330"/>
      <c r="Q95" s="325"/>
      <c r="S95" s="325"/>
      <c r="U95" s="325"/>
    </row>
    <row r="96" spans="3:21" ht="15.75" customHeight="1">
      <c r="C96" s="325"/>
      <c r="E96" s="325"/>
      <c r="G96" s="325"/>
      <c r="H96" s="65"/>
      <c r="I96" s="330"/>
      <c r="K96" s="325"/>
      <c r="L96" s="65"/>
      <c r="M96" s="330"/>
      <c r="N96" s="65"/>
      <c r="O96" s="330"/>
      <c r="Q96" s="325"/>
      <c r="S96" s="325"/>
      <c r="U96" s="325"/>
    </row>
    <row r="97" spans="3:21" ht="15.75" customHeight="1">
      <c r="C97" s="325"/>
      <c r="E97" s="325"/>
      <c r="G97" s="325"/>
      <c r="H97" s="65"/>
      <c r="I97" s="330"/>
      <c r="K97" s="325"/>
      <c r="L97" s="65"/>
      <c r="M97" s="330"/>
      <c r="N97" s="65"/>
      <c r="O97" s="330"/>
      <c r="Q97" s="325"/>
      <c r="S97" s="325"/>
      <c r="U97" s="325"/>
    </row>
    <row r="98" spans="3:21" ht="15.75" customHeight="1">
      <c r="C98" s="325"/>
      <c r="E98" s="325"/>
      <c r="G98" s="325"/>
      <c r="H98" s="65"/>
      <c r="I98" s="330"/>
      <c r="K98" s="325"/>
      <c r="L98" s="65"/>
      <c r="M98" s="330"/>
      <c r="N98" s="65"/>
      <c r="O98" s="330"/>
      <c r="Q98" s="325"/>
      <c r="S98" s="325"/>
      <c r="U98" s="325"/>
    </row>
    <row r="99" spans="3:21" ht="15.75" customHeight="1">
      <c r="C99" s="325"/>
      <c r="E99" s="325"/>
      <c r="G99" s="325"/>
      <c r="H99" s="65"/>
      <c r="I99" s="330"/>
      <c r="K99" s="325"/>
      <c r="L99" s="65"/>
      <c r="M99" s="330"/>
      <c r="N99" s="65"/>
      <c r="O99" s="330"/>
      <c r="Q99" s="325"/>
      <c r="S99" s="325"/>
      <c r="U99" s="325"/>
    </row>
    <row r="100" spans="3:21" ht="15.75" customHeight="1">
      <c r="C100" s="325"/>
      <c r="E100" s="325"/>
      <c r="G100" s="325"/>
      <c r="H100" s="65"/>
      <c r="I100" s="330"/>
      <c r="K100" s="325"/>
      <c r="L100" s="65"/>
      <c r="M100" s="330"/>
      <c r="N100" s="65"/>
      <c r="O100" s="330"/>
      <c r="Q100" s="325"/>
      <c r="S100" s="325"/>
      <c r="U100" s="325"/>
    </row>
    <row r="101" spans="3:21" ht="15.75" customHeight="1">
      <c r="C101" s="325"/>
      <c r="E101" s="325"/>
      <c r="G101" s="325"/>
      <c r="H101" s="65"/>
      <c r="I101" s="330"/>
      <c r="K101" s="325"/>
      <c r="L101" s="65"/>
      <c r="M101" s="330"/>
      <c r="N101" s="65"/>
      <c r="O101" s="330"/>
      <c r="Q101" s="325"/>
      <c r="S101" s="325"/>
      <c r="U101" s="325"/>
    </row>
    <row r="102" spans="3:21" ht="15.75" customHeight="1">
      <c r="C102" s="325"/>
      <c r="E102" s="325"/>
      <c r="G102" s="325"/>
      <c r="H102" s="65"/>
      <c r="I102" s="330"/>
      <c r="K102" s="325"/>
      <c r="L102" s="65"/>
      <c r="M102" s="330"/>
      <c r="N102" s="65"/>
      <c r="O102" s="330"/>
      <c r="Q102" s="325"/>
      <c r="S102" s="325"/>
      <c r="U102" s="325"/>
    </row>
    <row r="103" spans="3:21" ht="15.75" customHeight="1">
      <c r="C103" s="325"/>
      <c r="E103" s="325"/>
      <c r="G103" s="325"/>
      <c r="H103" s="65"/>
      <c r="I103" s="330"/>
      <c r="K103" s="325"/>
      <c r="L103" s="65"/>
      <c r="M103" s="330"/>
      <c r="N103" s="65"/>
      <c r="O103" s="330"/>
      <c r="Q103" s="325"/>
      <c r="S103" s="325"/>
      <c r="U103" s="325"/>
    </row>
    <row r="104" spans="3:21" ht="15.75" customHeight="1">
      <c r="C104" s="325"/>
      <c r="E104" s="325"/>
      <c r="G104" s="325"/>
      <c r="H104" s="65"/>
      <c r="I104" s="330"/>
      <c r="K104" s="325"/>
      <c r="L104" s="65"/>
      <c r="M104" s="330"/>
      <c r="N104" s="65"/>
      <c r="O104" s="330"/>
      <c r="Q104" s="325"/>
      <c r="S104" s="325"/>
      <c r="U104" s="325"/>
    </row>
    <row r="105" spans="3:21" ht="15.75" customHeight="1">
      <c r="C105" s="325"/>
      <c r="E105" s="325"/>
      <c r="G105" s="325"/>
      <c r="H105" s="65"/>
      <c r="I105" s="330"/>
      <c r="K105" s="325"/>
      <c r="L105" s="65"/>
      <c r="M105" s="330"/>
      <c r="N105" s="65"/>
      <c r="O105" s="330"/>
      <c r="Q105" s="325"/>
      <c r="S105" s="325"/>
      <c r="U105" s="325"/>
    </row>
    <row r="106" spans="3:21" ht="15.75" customHeight="1">
      <c r="C106" s="325"/>
      <c r="E106" s="325"/>
      <c r="G106" s="325"/>
      <c r="H106" s="65"/>
      <c r="I106" s="330"/>
      <c r="K106" s="325"/>
      <c r="L106" s="65"/>
      <c r="M106" s="330"/>
      <c r="N106" s="65"/>
      <c r="O106" s="330"/>
      <c r="Q106" s="325"/>
      <c r="S106" s="325"/>
      <c r="U106" s="325"/>
    </row>
    <row r="107" spans="3:21" ht="15.75" customHeight="1">
      <c r="C107" s="325"/>
      <c r="E107" s="325"/>
      <c r="G107" s="325"/>
      <c r="H107" s="65"/>
      <c r="I107" s="330"/>
      <c r="K107" s="325"/>
      <c r="L107" s="65"/>
      <c r="M107" s="330"/>
      <c r="N107" s="65"/>
      <c r="O107" s="330"/>
      <c r="Q107" s="325"/>
      <c r="S107" s="325"/>
      <c r="U107" s="325"/>
    </row>
    <row r="108" spans="3:21" ht="15.75" customHeight="1">
      <c r="C108" s="325"/>
      <c r="E108" s="325"/>
      <c r="G108" s="325"/>
      <c r="H108" s="65"/>
      <c r="I108" s="330"/>
      <c r="K108" s="325"/>
      <c r="L108" s="65"/>
      <c r="M108" s="330"/>
      <c r="N108" s="65"/>
      <c r="O108" s="330"/>
      <c r="Q108" s="325"/>
      <c r="S108" s="325"/>
      <c r="U108" s="325"/>
    </row>
  </sheetData>
  <sheetProtection/>
  <mergeCells count="11">
    <mergeCell ref="A2:A3"/>
    <mergeCell ref="B2:C2"/>
    <mergeCell ref="D2:E2"/>
    <mergeCell ref="F2:G2"/>
    <mergeCell ref="J2:K2"/>
    <mergeCell ref="T2:U2"/>
    <mergeCell ref="H2:I2"/>
    <mergeCell ref="R2:S2"/>
    <mergeCell ref="L2:M2"/>
    <mergeCell ref="P2:Q2"/>
    <mergeCell ref="N2:O2"/>
  </mergeCells>
  <printOptions verticalCentered="1"/>
  <pageMargins left="0" right="0" top="0.35433070866141736" bottom="0.4330708661417323" header="0.31496062992125984" footer="0.2362204724409449"/>
  <pageSetup horizontalDpi="600" verticalDpi="600" orientation="landscape" paperSize="9" r:id="rId1"/>
  <headerFooter alignWithMargins="0">
    <oddHeader>&amp;Lตารางที่ 12 : ความร่วมมือไตรภาคีรายประเทศ แยกตามสาขา ประจำปี 2555
</oddHeader>
  </headerFooter>
</worksheet>
</file>

<file path=xl/worksheets/sheet13.xml><?xml version="1.0" encoding="utf-8"?>
<worksheet xmlns="http://schemas.openxmlformats.org/spreadsheetml/2006/main" xmlns:r="http://schemas.openxmlformats.org/officeDocument/2006/relationships">
  <sheetPr>
    <tabColor indexed="14"/>
  </sheetPr>
  <dimension ref="A1:N273"/>
  <sheetViews>
    <sheetView zoomScalePageLayoutView="0" workbookViewId="0" topLeftCell="A1">
      <pane xSplit="4" ySplit="3" topLeftCell="E13" activePane="bottomRight" state="frozen"/>
      <selection pane="topLeft" activeCell="A1" sqref="A1"/>
      <selection pane="topRight" activeCell="E1" sqref="E1"/>
      <selection pane="bottomLeft" activeCell="A4" sqref="A4"/>
      <selection pane="bottomRight" activeCell="N1" sqref="N1"/>
    </sheetView>
  </sheetViews>
  <sheetFormatPr defaultColWidth="9.140625" defaultRowHeight="12.75"/>
  <cols>
    <col min="1" max="1" width="10.57421875" style="122" customWidth="1"/>
    <col min="2" max="2" width="3.00390625" style="217" bestFit="1" customWidth="1"/>
    <col min="3" max="3" width="53.421875" style="202" customWidth="1"/>
    <col min="4" max="4" width="17.421875" style="123" customWidth="1"/>
    <col min="5" max="5" width="5.140625" style="122" customWidth="1"/>
    <col min="6" max="6" width="8.00390625" style="6" customWidth="1"/>
    <col min="7" max="7" width="4.57421875" style="837" customWidth="1"/>
    <col min="8" max="8" width="5.8515625" style="0" customWidth="1"/>
    <col min="9" max="9" width="4.8515625" style="6" customWidth="1"/>
    <col min="10" max="10" width="7.421875" style="6" customWidth="1"/>
    <col min="11" max="11" width="6.421875" style="6" customWidth="1"/>
    <col min="12" max="12" width="6.57421875" style="6" customWidth="1"/>
    <col min="13" max="13" width="5.140625" style="6" customWidth="1"/>
    <col min="14" max="14" width="8.421875" style="6" customWidth="1"/>
    <col min="15" max="16384" width="9.140625" style="6" customWidth="1"/>
  </cols>
  <sheetData>
    <row r="1" spans="1:14" ht="24.75" customHeight="1" thickBot="1">
      <c r="A1" s="189" t="s">
        <v>546</v>
      </c>
      <c r="C1" s="144"/>
      <c r="D1" s="115"/>
      <c r="E1" s="116"/>
      <c r="M1" s="19"/>
      <c r="N1" s="1123" t="s">
        <v>483</v>
      </c>
    </row>
    <row r="2" spans="1:14" s="143" customFormat="1" ht="45.75" customHeight="1" thickBot="1">
      <c r="A2" s="913" t="s">
        <v>547</v>
      </c>
      <c r="B2" s="914"/>
      <c r="C2" s="916" t="s">
        <v>548</v>
      </c>
      <c r="D2" s="915" t="s">
        <v>533</v>
      </c>
      <c r="E2" s="1172" t="s">
        <v>514</v>
      </c>
      <c r="F2" s="1172"/>
      <c r="G2" s="1172" t="s">
        <v>515</v>
      </c>
      <c r="H2" s="1172"/>
      <c r="I2" s="1171" t="s">
        <v>511</v>
      </c>
      <c r="J2" s="1172"/>
      <c r="K2" s="1173" t="s">
        <v>529</v>
      </c>
      <c r="L2" s="1213" t="s">
        <v>549</v>
      </c>
      <c r="M2" s="1211" t="s">
        <v>481</v>
      </c>
      <c r="N2" s="1212"/>
    </row>
    <row r="3" spans="1:14" ht="22.5" thickBot="1">
      <c r="A3" s="917"/>
      <c r="B3" s="918"/>
      <c r="C3" s="920"/>
      <c r="D3" s="919"/>
      <c r="E3" s="1109" t="s">
        <v>474</v>
      </c>
      <c r="F3" s="1124" t="s">
        <v>475</v>
      </c>
      <c r="G3" s="1109" t="s">
        <v>474</v>
      </c>
      <c r="H3" s="1124" t="s">
        <v>475</v>
      </c>
      <c r="I3" s="1109" t="s">
        <v>474</v>
      </c>
      <c r="J3" s="1124" t="s">
        <v>475</v>
      </c>
      <c r="K3" s="1174"/>
      <c r="L3" s="1214"/>
      <c r="M3" s="1109" t="s">
        <v>474</v>
      </c>
      <c r="N3" s="1124" t="s">
        <v>475</v>
      </c>
    </row>
    <row r="4" spans="1:14" s="316" customFormat="1" ht="87.75" customHeight="1">
      <c r="A4" s="921" t="s">
        <v>223</v>
      </c>
      <c r="B4" s="922">
        <v>1</v>
      </c>
      <c r="C4" s="924" t="s">
        <v>295</v>
      </c>
      <c r="D4" s="923" t="s">
        <v>91</v>
      </c>
      <c r="E4" s="923">
        <v>17</v>
      </c>
      <c r="F4" s="925">
        <v>1404.2</v>
      </c>
      <c r="G4" s="926"/>
      <c r="H4" s="927"/>
      <c r="I4" s="928"/>
      <c r="J4" s="928"/>
      <c r="K4" s="928"/>
      <c r="L4" s="928"/>
      <c r="M4" s="980">
        <f aca="true" t="shared" si="0" ref="M4:M13">E4+G4</f>
        <v>17</v>
      </c>
      <c r="N4" s="929">
        <f>F4+H4+J4+K4+L4</f>
        <v>1404.2</v>
      </c>
    </row>
    <row r="5" spans="1:14" s="309" customFormat="1" ht="68.25" customHeight="1">
      <c r="A5" s="930"/>
      <c r="B5" s="931">
        <v>2</v>
      </c>
      <c r="C5" s="932" t="s">
        <v>296</v>
      </c>
      <c r="D5" s="845" t="s">
        <v>91</v>
      </c>
      <c r="E5" s="933">
        <v>16</v>
      </c>
      <c r="F5" s="934">
        <v>1367.6</v>
      </c>
      <c r="G5" s="935"/>
      <c r="H5" s="650"/>
      <c r="I5" s="936"/>
      <c r="J5" s="936"/>
      <c r="K5" s="936"/>
      <c r="L5" s="936"/>
      <c r="M5" s="980">
        <f t="shared" si="0"/>
        <v>16</v>
      </c>
      <c r="N5" s="937">
        <f aca="true" t="shared" si="1" ref="N5:N13">F5+H5+J5+K5+L5</f>
        <v>1367.6</v>
      </c>
    </row>
    <row r="6" spans="1:14" s="309" customFormat="1" ht="81">
      <c r="A6" s="930"/>
      <c r="B6" s="931">
        <v>3</v>
      </c>
      <c r="C6" s="932" t="s">
        <v>297</v>
      </c>
      <c r="D6" s="845" t="s">
        <v>91</v>
      </c>
      <c r="E6" s="933">
        <v>16</v>
      </c>
      <c r="F6" s="934">
        <v>1343.1</v>
      </c>
      <c r="G6" s="935"/>
      <c r="H6" s="650"/>
      <c r="I6" s="936"/>
      <c r="J6" s="936"/>
      <c r="K6" s="936"/>
      <c r="L6" s="936"/>
      <c r="M6" s="980">
        <f t="shared" si="0"/>
        <v>16</v>
      </c>
      <c r="N6" s="937">
        <f t="shared" si="1"/>
        <v>1343.1</v>
      </c>
    </row>
    <row r="7" spans="1:14" s="306" customFormat="1" ht="24" customHeight="1">
      <c r="A7" s="850"/>
      <c r="B7" s="850"/>
      <c r="C7" s="852" t="s">
        <v>481</v>
      </c>
      <c r="D7" s="851"/>
      <c r="E7" s="852">
        <f aca="true" t="shared" si="2" ref="E7:N7">SUM(E4:E6)</f>
        <v>49</v>
      </c>
      <c r="F7" s="938">
        <f t="shared" si="2"/>
        <v>4114.9</v>
      </c>
      <c r="G7" s="852">
        <f t="shared" si="2"/>
        <v>0</v>
      </c>
      <c r="H7" s="938">
        <f t="shared" si="2"/>
        <v>0</v>
      </c>
      <c r="I7" s="853">
        <f t="shared" si="2"/>
        <v>0</v>
      </c>
      <c r="J7" s="938">
        <f t="shared" si="2"/>
        <v>0</v>
      </c>
      <c r="K7" s="938">
        <f t="shared" si="2"/>
        <v>0</v>
      </c>
      <c r="L7" s="938">
        <f t="shared" si="2"/>
        <v>0</v>
      </c>
      <c r="M7" s="981">
        <f>SUM(M4:M6)</f>
        <v>49</v>
      </c>
      <c r="N7" s="938">
        <f t="shared" si="2"/>
        <v>4114.9</v>
      </c>
    </row>
    <row r="8" spans="1:14" s="306" customFormat="1" ht="40.5">
      <c r="A8" s="939" t="s">
        <v>224</v>
      </c>
      <c r="B8" s="931">
        <v>4</v>
      </c>
      <c r="C8" s="846" t="s">
        <v>298</v>
      </c>
      <c r="D8" s="845" t="s">
        <v>50</v>
      </c>
      <c r="E8" s="845">
        <v>26</v>
      </c>
      <c r="F8" s="940">
        <v>1614.6</v>
      </c>
      <c r="G8" s="847"/>
      <c r="H8" s="941"/>
      <c r="I8" s="893"/>
      <c r="J8" s="893"/>
      <c r="K8" s="942"/>
      <c r="L8" s="942"/>
      <c r="M8" s="980">
        <f t="shared" si="0"/>
        <v>26</v>
      </c>
      <c r="N8" s="937">
        <f t="shared" si="1"/>
        <v>1614.6</v>
      </c>
    </row>
    <row r="9" spans="1:14" s="306" customFormat="1" ht="40.5">
      <c r="A9" s="943"/>
      <c r="B9" s="931">
        <v>5</v>
      </c>
      <c r="C9" s="846" t="s">
        <v>300</v>
      </c>
      <c r="D9" s="845" t="s">
        <v>50</v>
      </c>
      <c r="E9" s="845">
        <v>7</v>
      </c>
      <c r="F9" s="944">
        <v>933.9</v>
      </c>
      <c r="G9" s="945"/>
      <c r="H9" s="647"/>
      <c r="I9" s="942"/>
      <c r="J9" s="942"/>
      <c r="K9" s="942"/>
      <c r="L9" s="942"/>
      <c r="M9" s="980">
        <f t="shared" si="0"/>
        <v>7</v>
      </c>
      <c r="N9" s="937">
        <f>F9+H9+J9+K9+L9</f>
        <v>933.9</v>
      </c>
    </row>
    <row r="10" spans="1:14" s="306" customFormat="1" ht="80.25" customHeight="1">
      <c r="A10" s="943"/>
      <c r="B10" s="931">
        <v>6</v>
      </c>
      <c r="C10" s="846" t="s">
        <v>299</v>
      </c>
      <c r="D10" s="845" t="s">
        <v>53</v>
      </c>
      <c r="E10" s="845">
        <v>10</v>
      </c>
      <c r="F10" s="940">
        <v>899.1</v>
      </c>
      <c r="G10" s="847"/>
      <c r="H10" s="941"/>
      <c r="I10" s="893"/>
      <c r="J10" s="893"/>
      <c r="K10" s="942"/>
      <c r="L10" s="942"/>
      <c r="M10" s="980">
        <f t="shared" si="0"/>
        <v>10</v>
      </c>
      <c r="N10" s="937">
        <f t="shared" si="1"/>
        <v>899.1</v>
      </c>
    </row>
    <row r="11" spans="1:14" s="306" customFormat="1" ht="40.5">
      <c r="A11" s="942"/>
      <c r="B11" s="931">
        <v>7</v>
      </c>
      <c r="C11" s="846" t="s">
        <v>286</v>
      </c>
      <c r="D11" s="845" t="s">
        <v>58</v>
      </c>
      <c r="E11" s="845"/>
      <c r="F11" s="940"/>
      <c r="G11" s="847"/>
      <c r="H11" s="941"/>
      <c r="I11" s="893">
        <v>1</v>
      </c>
      <c r="J11" s="893">
        <v>53.7</v>
      </c>
      <c r="K11" s="942"/>
      <c r="L11" s="942"/>
      <c r="M11" s="980">
        <f t="shared" si="0"/>
        <v>0</v>
      </c>
      <c r="N11" s="937">
        <f>F11+H11+J11+K11+L11</f>
        <v>53.7</v>
      </c>
    </row>
    <row r="12" spans="1:14" s="306" customFormat="1" ht="40.5">
      <c r="A12" s="943"/>
      <c r="B12" s="931">
        <v>8</v>
      </c>
      <c r="C12" s="846" t="s">
        <v>287</v>
      </c>
      <c r="D12" s="845" t="s">
        <v>58</v>
      </c>
      <c r="E12" s="845"/>
      <c r="F12" s="940"/>
      <c r="G12" s="847"/>
      <c r="H12" s="941"/>
      <c r="I12" s="893">
        <v>1</v>
      </c>
      <c r="J12" s="893">
        <v>68.9</v>
      </c>
      <c r="K12" s="942"/>
      <c r="L12" s="942"/>
      <c r="M12" s="980">
        <f t="shared" si="0"/>
        <v>0</v>
      </c>
      <c r="N12" s="937">
        <f>F12+H12+J12+K12+L12</f>
        <v>68.9</v>
      </c>
    </row>
    <row r="13" spans="1:14" s="306" customFormat="1" ht="41.25" customHeight="1">
      <c r="A13" s="943"/>
      <c r="B13" s="931">
        <v>9</v>
      </c>
      <c r="C13" s="846" t="s">
        <v>301</v>
      </c>
      <c r="D13" s="845" t="s">
        <v>154</v>
      </c>
      <c r="E13" s="845">
        <v>7</v>
      </c>
      <c r="F13" s="944">
        <v>153.6</v>
      </c>
      <c r="G13" s="945"/>
      <c r="H13" s="647"/>
      <c r="I13" s="942"/>
      <c r="J13" s="942"/>
      <c r="K13" s="942"/>
      <c r="L13" s="942"/>
      <c r="M13" s="980">
        <f t="shared" si="0"/>
        <v>7</v>
      </c>
      <c r="N13" s="937">
        <f t="shared" si="1"/>
        <v>153.6</v>
      </c>
    </row>
    <row r="14" spans="1:14" s="306" customFormat="1" ht="24" customHeight="1">
      <c r="A14" s="850"/>
      <c r="B14" s="850"/>
      <c r="C14" s="852" t="s">
        <v>481</v>
      </c>
      <c r="D14" s="851"/>
      <c r="E14" s="852">
        <f aca="true" t="shared" si="3" ref="E14:N14">SUM(E8:E13)</f>
        <v>50</v>
      </c>
      <c r="F14" s="852">
        <f t="shared" si="3"/>
        <v>3601.2</v>
      </c>
      <c r="G14" s="852">
        <f t="shared" si="3"/>
        <v>0</v>
      </c>
      <c r="H14" s="855">
        <f t="shared" si="3"/>
        <v>0</v>
      </c>
      <c r="I14" s="853">
        <f t="shared" si="3"/>
        <v>2</v>
      </c>
      <c r="J14" s="855">
        <f t="shared" si="3"/>
        <v>122.60000000000001</v>
      </c>
      <c r="K14" s="855">
        <f t="shared" si="3"/>
        <v>0</v>
      </c>
      <c r="L14" s="855">
        <f t="shared" si="3"/>
        <v>0</v>
      </c>
      <c r="M14" s="982">
        <f>SUM(M8:M13)</f>
        <v>50</v>
      </c>
      <c r="N14" s="855">
        <f t="shared" si="3"/>
        <v>3723.7999999999997</v>
      </c>
    </row>
    <row r="15" spans="1:14" s="313" customFormat="1" ht="40.5">
      <c r="A15" s="946" t="s">
        <v>153</v>
      </c>
      <c r="B15" s="947">
        <v>10</v>
      </c>
      <c r="C15" s="932" t="s">
        <v>289</v>
      </c>
      <c r="D15" s="948" t="s">
        <v>50</v>
      </c>
      <c r="E15" s="933"/>
      <c r="F15" s="949"/>
      <c r="G15" s="933"/>
      <c r="H15" s="650"/>
      <c r="I15" s="950"/>
      <c r="J15" s="950"/>
      <c r="K15" s="950"/>
      <c r="L15" s="950"/>
      <c r="M15" s="980"/>
      <c r="N15" s="951"/>
    </row>
    <row r="16" spans="1:14" s="313" customFormat="1" ht="40.5">
      <c r="A16" s="952"/>
      <c r="B16" s="947"/>
      <c r="C16" s="953" t="s">
        <v>274</v>
      </c>
      <c r="D16" s="948"/>
      <c r="E16" s="933">
        <v>3</v>
      </c>
      <c r="F16" s="949">
        <f>122.8</f>
        <v>122.8</v>
      </c>
      <c r="G16" s="933"/>
      <c r="H16" s="650"/>
      <c r="I16" s="950"/>
      <c r="J16" s="950"/>
      <c r="K16" s="950"/>
      <c r="L16" s="950"/>
      <c r="M16" s="980">
        <f>E16+G16</f>
        <v>3</v>
      </c>
      <c r="N16" s="951">
        <f aca="true" t="shared" si="4" ref="N16:N27">F16+H16+J16+K16+L16</f>
        <v>122.8</v>
      </c>
    </row>
    <row r="17" spans="1:14" s="313" customFormat="1" ht="40.5">
      <c r="A17" s="952"/>
      <c r="B17" s="947"/>
      <c r="C17" s="953" t="s">
        <v>275</v>
      </c>
      <c r="D17" s="948"/>
      <c r="E17" s="933">
        <v>3</v>
      </c>
      <c r="F17" s="949">
        <v>123.3</v>
      </c>
      <c r="G17" s="933"/>
      <c r="H17" s="650"/>
      <c r="I17" s="950"/>
      <c r="J17" s="950"/>
      <c r="K17" s="950"/>
      <c r="L17" s="950"/>
      <c r="M17" s="980">
        <f>E17+G17</f>
        <v>3</v>
      </c>
      <c r="N17" s="951">
        <f t="shared" si="4"/>
        <v>123.3</v>
      </c>
    </row>
    <row r="18" spans="1:14" s="313" customFormat="1" ht="40.5">
      <c r="A18" s="952"/>
      <c r="B18" s="947"/>
      <c r="C18" s="953" t="s">
        <v>276</v>
      </c>
      <c r="D18" s="948"/>
      <c r="E18" s="933"/>
      <c r="F18" s="949"/>
      <c r="G18" s="933"/>
      <c r="H18" s="650"/>
      <c r="I18" s="950"/>
      <c r="J18" s="950"/>
      <c r="K18" s="950"/>
      <c r="L18" s="950">
        <f>765*1.1</f>
        <v>841.5000000000001</v>
      </c>
      <c r="M18" s="980">
        <f>E18+G18</f>
        <v>0</v>
      </c>
      <c r="N18" s="951">
        <f t="shared" si="4"/>
        <v>841.5000000000001</v>
      </c>
    </row>
    <row r="19" spans="1:14" s="313" customFormat="1" ht="40.5">
      <c r="A19" s="952"/>
      <c r="B19" s="947"/>
      <c r="C19" s="953" t="s">
        <v>306</v>
      </c>
      <c r="D19" s="948"/>
      <c r="E19" s="933">
        <v>5</v>
      </c>
      <c r="F19" s="949">
        <v>188</v>
      </c>
      <c r="G19" s="933"/>
      <c r="H19" s="650"/>
      <c r="I19" s="950"/>
      <c r="J19" s="950"/>
      <c r="K19" s="950"/>
      <c r="L19" s="950"/>
      <c r="M19" s="980">
        <f aca="true" t="shared" si="5" ref="M19:M51">E19+G19</f>
        <v>5</v>
      </c>
      <c r="N19" s="951">
        <f t="shared" si="4"/>
        <v>188</v>
      </c>
    </row>
    <row r="20" spans="1:14" s="313" customFormat="1" ht="60.75">
      <c r="A20" s="952"/>
      <c r="B20" s="947">
        <v>11</v>
      </c>
      <c r="C20" s="932" t="s">
        <v>290</v>
      </c>
      <c r="D20" s="948" t="s">
        <v>111</v>
      </c>
      <c r="E20" s="933"/>
      <c r="F20" s="949"/>
      <c r="G20" s="933"/>
      <c r="H20" s="650"/>
      <c r="I20" s="950"/>
      <c r="J20" s="950"/>
      <c r="K20" s="950"/>
      <c r="L20" s="950"/>
      <c r="M20" s="980">
        <f t="shared" si="5"/>
        <v>0</v>
      </c>
      <c r="N20" s="951">
        <f t="shared" si="4"/>
        <v>0</v>
      </c>
    </row>
    <row r="21" spans="1:14" s="313" customFormat="1" ht="21" customHeight="1">
      <c r="A21" s="952"/>
      <c r="B21" s="947"/>
      <c r="C21" s="953" t="s">
        <v>285</v>
      </c>
      <c r="D21" s="948"/>
      <c r="E21" s="933"/>
      <c r="F21" s="949"/>
      <c r="G21" s="933"/>
      <c r="H21" s="650"/>
      <c r="I21" s="950">
        <v>4</v>
      </c>
      <c r="J21" s="950">
        <f>83.7</f>
        <v>83.7</v>
      </c>
      <c r="K21" s="950"/>
      <c r="L21" s="950"/>
      <c r="M21" s="980">
        <f t="shared" si="5"/>
        <v>0</v>
      </c>
      <c r="N21" s="951">
        <f t="shared" si="4"/>
        <v>83.7</v>
      </c>
    </row>
    <row r="22" spans="1:14" s="313" customFormat="1" ht="21">
      <c r="A22" s="952"/>
      <c r="B22" s="947"/>
      <c r="C22" s="953" t="s">
        <v>293</v>
      </c>
      <c r="D22" s="948"/>
      <c r="E22" s="933"/>
      <c r="F22" s="949"/>
      <c r="G22" s="933"/>
      <c r="H22" s="650"/>
      <c r="I22" s="950">
        <v>1</v>
      </c>
      <c r="J22" s="954">
        <f>67.7*1.1</f>
        <v>74.47000000000001</v>
      </c>
      <c r="K22" s="950"/>
      <c r="L22" s="950"/>
      <c r="M22" s="980">
        <f t="shared" si="5"/>
        <v>0</v>
      </c>
      <c r="N22" s="951">
        <f t="shared" si="4"/>
        <v>74.47000000000001</v>
      </c>
    </row>
    <row r="23" spans="1:14" s="313" customFormat="1" ht="21">
      <c r="A23" s="952"/>
      <c r="B23" s="947"/>
      <c r="C23" s="953" t="s">
        <v>294</v>
      </c>
      <c r="D23" s="948"/>
      <c r="E23" s="933"/>
      <c r="F23" s="949"/>
      <c r="G23" s="933"/>
      <c r="H23" s="650"/>
      <c r="I23" s="950">
        <v>1</v>
      </c>
      <c r="J23" s="950">
        <f>155*1.1</f>
        <v>170.5</v>
      </c>
      <c r="K23" s="950"/>
      <c r="L23" s="950"/>
      <c r="M23" s="980">
        <f t="shared" si="5"/>
        <v>0</v>
      </c>
      <c r="N23" s="951">
        <f t="shared" si="4"/>
        <v>170.5</v>
      </c>
    </row>
    <row r="24" spans="1:14" s="313" customFormat="1" ht="40.5">
      <c r="A24" s="952"/>
      <c r="B24" s="947"/>
      <c r="C24" s="953" t="s">
        <v>277</v>
      </c>
      <c r="D24" s="948"/>
      <c r="E24" s="933"/>
      <c r="F24" s="949"/>
      <c r="G24" s="933"/>
      <c r="H24" s="650"/>
      <c r="I24" s="950">
        <v>1</v>
      </c>
      <c r="J24" s="954">
        <f>164.1*1.1</f>
        <v>180.51000000000002</v>
      </c>
      <c r="K24" s="950"/>
      <c r="L24" s="950"/>
      <c r="M24" s="980">
        <f t="shared" si="5"/>
        <v>0</v>
      </c>
      <c r="N24" s="951">
        <f t="shared" si="4"/>
        <v>180.51000000000002</v>
      </c>
    </row>
    <row r="25" spans="1:14" s="313" customFormat="1" ht="41.25" customHeight="1">
      <c r="A25" s="952"/>
      <c r="B25" s="947"/>
      <c r="C25" s="953" t="s">
        <v>278</v>
      </c>
      <c r="D25" s="948"/>
      <c r="E25" s="933">
        <v>2</v>
      </c>
      <c r="F25" s="949">
        <f>180.1*1.1</f>
        <v>198.11</v>
      </c>
      <c r="G25" s="933"/>
      <c r="H25" s="650"/>
      <c r="I25" s="950"/>
      <c r="J25" s="950"/>
      <c r="K25" s="950"/>
      <c r="L25" s="950"/>
      <c r="M25" s="980">
        <f t="shared" si="5"/>
        <v>2</v>
      </c>
      <c r="N25" s="951">
        <f t="shared" si="4"/>
        <v>198.11</v>
      </c>
    </row>
    <row r="26" spans="1:14" s="313" customFormat="1" ht="40.5">
      <c r="A26" s="952"/>
      <c r="B26" s="947"/>
      <c r="C26" s="953" t="s">
        <v>279</v>
      </c>
      <c r="D26" s="948"/>
      <c r="E26" s="933">
        <v>2</v>
      </c>
      <c r="F26" s="949">
        <f>176.5*1.1</f>
        <v>194.15</v>
      </c>
      <c r="G26" s="933"/>
      <c r="H26" s="650"/>
      <c r="I26" s="950"/>
      <c r="J26" s="950"/>
      <c r="K26" s="950"/>
      <c r="L26" s="950"/>
      <c r="M26" s="980">
        <f t="shared" si="5"/>
        <v>2</v>
      </c>
      <c r="N26" s="951">
        <f t="shared" si="4"/>
        <v>194.15</v>
      </c>
    </row>
    <row r="27" spans="1:14" s="313" customFormat="1" ht="21">
      <c r="A27" s="952"/>
      <c r="B27" s="947"/>
      <c r="C27" s="953" t="s">
        <v>280</v>
      </c>
      <c r="D27" s="948"/>
      <c r="E27" s="933">
        <v>2</v>
      </c>
      <c r="F27" s="949">
        <f>25.1*1.1</f>
        <v>27.610000000000003</v>
      </c>
      <c r="G27" s="933"/>
      <c r="H27" s="650"/>
      <c r="I27" s="950"/>
      <c r="J27" s="950"/>
      <c r="K27" s="950"/>
      <c r="L27" s="950"/>
      <c r="M27" s="980">
        <f t="shared" si="5"/>
        <v>2</v>
      </c>
      <c r="N27" s="951">
        <f t="shared" si="4"/>
        <v>27.610000000000003</v>
      </c>
    </row>
    <row r="28" spans="1:14" s="313" customFormat="1" ht="40.5" customHeight="1">
      <c r="A28" s="952"/>
      <c r="B28" s="947">
        <v>12</v>
      </c>
      <c r="C28" s="932" t="s">
        <v>291</v>
      </c>
      <c r="D28" s="948" t="s">
        <v>91</v>
      </c>
      <c r="E28" s="933"/>
      <c r="F28" s="949"/>
      <c r="G28" s="933"/>
      <c r="H28" s="650"/>
      <c r="I28" s="950"/>
      <c r="J28" s="950"/>
      <c r="K28" s="950"/>
      <c r="L28" s="950"/>
      <c r="M28" s="980">
        <f t="shared" si="5"/>
        <v>0</v>
      </c>
      <c r="N28" s="951"/>
    </row>
    <row r="29" spans="1:14" s="313" customFormat="1" ht="40.5">
      <c r="A29" s="952"/>
      <c r="B29" s="947"/>
      <c r="C29" s="953" t="s">
        <v>281</v>
      </c>
      <c r="D29" s="948"/>
      <c r="E29" s="933"/>
      <c r="F29" s="949"/>
      <c r="G29" s="933"/>
      <c r="H29" s="650"/>
      <c r="I29" s="950">
        <v>1</v>
      </c>
      <c r="J29" s="954">
        <f>82.3*1.1</f>
        <v>90.53</v>
      </c>
      <c r="K29" s="950"/>
      <c r="L29" s="950"/>
      <c r="M29" s="980">
        <f t="shared" si="5"/>
        <v>0</v>
      </c>
      <c r="N29" s="951">
        <f>F29+H29+J29+K29+L29</f>
        <v>90.53</v>
      </c>
    </row>
    <row r="30" spans="1:14" s="313" customFormat="1" ht="40.5">
      <c r="A30" s="952"/>
      <c r="B30" s="947"/>
      <c r="C30" s="953" t="s">
        <v>282</v>
      </c>
      <c r="D30" s="948"/>
      <c r="E30" s="933"/>
      <c r="F30" s="949"/>
      <c r="G30" s="933"/>
      <c r="H30" s="650"/>
      <c r="I30" s="950">
        <v>1</v>
      </c>
      <c r="J30" s="954">
        <f>107.9*1.1</f>
        <v>118.69000000000001</v>
      </c>
      <c r="K30" s="950"/>
      <c r="L30" s="950"/>
      <c r="M30" s="980">
        <f t="shared" si="5"/>
        <v>0</v>
      </c>
      <c r="N30" s="951">
        <f>F30+H30+J30+K30+L30</f>
        <v>118.69000000000001</v>
      </c>
    </row>
    <row r="31" spans="1:14" s="313" customFormat="1" ht="40.5">
      <c r="A31" s="952"/>
      <c r="B31" s="947"/>
      <c r="C31" s="953" t="s">
        <v>283</v>
      </c>
      <c r="D31" s="948"/>
      <c r="E31" s="933"/>
      <c r="F31" s="949"/>
      <c r="G31" s="933"/>
      <c r="H31" s="650"/>
      <c r="I31" s="950">
        <v>2</v>
      </c>
      <c r="J31" s="954">
        <f>19.6*1.1</f>
        <v>21.560000000000002</v>
      </c>
      <c r="K31" s="950"/>
      <c r="L31" s="950"/>
      <c r="M31" s="980">
        <f t="shared" si="5"/>
        <v>0</v>
      </c>
      <c r="N31" s="951">
        <f>F31+H31+J31+K31+L31</f>
        <v>21.560000000000002</v>
      </c>
    </row>
    <row r="32" spans="1:14" ht="21.75">
      <c r="A32" s="955"/>
      <c r="B32" s="956"/>
      <c r="C32" s="958" t="s">
        <v>284</v>
      </c>
      <c r="D32" s="957"/>
      <c r="E32" s="955"/>
      <c r="F32" s="959"/>
      <c r="G32" s="960"/>
      <c r="H32" s="961"/>
      <c r="I32" s="959"/>
      <c r="J32" s="959"/>
      <c r="K32" s="959">
        <v>115</v>
      </c>
      <c r="L32" s="959"/>
      <c r="M32" s="980">
        <f t="shared" si="5"/>
        <v>0</v>
      </c>
      <c r="N32" s="951">
        <f>F32+H32+J32+K32+L32</f>
        <v>115</v>
      </c>
    </row>
    <row r="33" spans="1:14" s="313" customFormat="1" ht="60.75">
      <c r="A33" s="950"/>
      <c r="B33" s="947">
        <v>13</v>
      </c>
      <c r="C33" s="932" t="s">
        <v>345</v>
      </c>
      <c r="D33" s="963" t="s">
        <v>225</v>
      </c>
      <c r="E33" s="933"/>
      <c r="F33" s="949"/>
      <c r="G33" s="933"/>
      <c r="H33" s="650"/>
      <c r="I33" s="950">
        <v>2</v>
      </c>
      <c r="J33" s="954">
        <f>46.8*1.1</f>
        <v>51.480000000000004</v>
      </c>
      <c r="K33" s="950"/>
      <c r="L33" s="950"/>
      <c r="M33" s="980">
        <f t="shared" si="5"/>
        <v>0</v>
      </c>
      <c r="N33" s="951">
        <f>F33+H33+J33+K33+L33</f>
        <v>51.480000000000004</v>
      </c>
    </row>
    <row r="34" spans="1:14" s="313" customFormat="1" ht="62.25">
      <c r="A34" s="962"/>
      <c r="B34" s="947">
        <v>14</v>
      </c>
      <c r="C34" s="932" t="s">
        <v>288</v>
      </c>
      <c r="D34" s="963" t="s">
        <v>58</v>
      </c>
      <c r="E34" s="933"/>
      <c r="F34" s="949"/>
      <c r="G34" s="933"/>
      <c r="H34" s="650"/>
      <c r="I34" s="950">
        <v>5</v>
      </c>
      <c r="J34" s="950">
        <f>157*1.1</f>
        <v>172.70000000000002</v>
      </c>
      <c r="K34" s="950"/>
      <c r="L34" s="950"/>
      <c r="M34" s="980">
        <f t="shared" si="5"/>
        <v>0</v>
      </c>
      <c r="N34" s="951">
        <f aca="true" t="shared" si="6" ref="N34:N51">F34+H34+J34+K34+L34</f>
        <v>172.70000000000002</v>
      </c>
    </row>
    <row r="35" spans="1:14" s="306" customFormat="1" ht="24" customHeight="1">
      <c r="A35" s="850"/>
      <c r="B35" s="850"/>
      <c r="C35" s="852" t="s">
        <v>481</v>
      </c>
      <c r="D35" s="851"/>
      <c r="E35" s="852">
        <f aca="true" t="shared" si="7" ref="E35:N35">SUM(E15:E34)</f>
        <v>17</v>
      </c>
      <c r="F35" s="964">
        <f t="shared" si="7"/>
        <v>853.97</v>
      </c>
      <c r="G35" s="852">
        <f t="shared" si="7"/>
        <v>0</v>
      </c>
      <c r="H35" s="964">
        <f t="shared" si="7"/>
        <v>0</v>
      </c>
      <c r="I35" s="852">
        <f t="shared" si="7"/>
        <v>18</v>
      </c>
      <c r="J35" s="964">
        <f t="shared" si="7"/>
        <v>964.1400000000001</v>
      </c>
      <c r="K35" s="964">
        <f t="shared" si="7"/>
        <v>115</v>
      </c>
      <c r="L35" s="964">
        <f t="shared" si="7"/>
        <v>841.5000000000001</v>
      </c>
      <c r="M35" s="982">
        <f>SUM(M16:M34)</f>
        <v>17</v>
      </c>
      <c r="N35" s="964">
        <f t="shared" si="7"/>
        <v>2774.6100000000006</v>
      </c>
    </row>
    <row r="36" spans="1:14" s="772" customFormat="1" ht="40.5">
      <c r="A36" s="939" t="s">
        <v>114</v>
      </c>
      <c r="B36" s="931">
        <v>15</v>
      </c>
      <c r="C36" s="932" t="s">
        <v>346</v>
      </c>
      <c r="D36" s="965" t="s">
        <v>58</v>
      </c>
      <c r="E36" s="933">
        <v>2</v>
      </c>
      <c r="F36" s="949">
        <f>82*1.1</f>
        <v>90.2</v>
      </c>
      <c r="G36" s="933"/>
      <c r="H36" s="949"/>
      <c r="I36" s="933"/>
      <c r="J36" s="949"/>
      <c r="K36" s="933"/>
      <c r="L36" s="949"/>
      <c r="M36" s="980">
        <f t="shared" si="5"/>
        <v>2</v>
      </c>
      <c r="N36" s="951">
        <f t="shared" si="6"/>
        <v>90.2</v>
      </c>
    </row>
    <row r="37" spans="1:14" s="772" customFormat="1" ht="60.75">
      <c r="A37" s="939"/>
      <c r="B37" s="931">
        <v>16</v>
      </c>
      <c r="C37" s="932" t="s">
        <v>302</v>
      </c>
      <c r="D37" s="965" t="s">
        <v>58</v>
      </c>
      <c r="E37" s="933"/>
      <c r="F37" s="949"/>
      <c r="G37" s="933"/>
      <c r="H37" s="949">
        <v>22.8</v>
      </c>
      <c r="I37" s="933"/>
      <c r="J37" s="949"/>
      <c r="K37" s="933"/>
      <c r="L37" s="949"/>
      <c r="M37" s="980">
        <f t="shared" si="5"/>
        <v>0</v>
      </c>
      <c r="N37" s="951">
        <f t="shared" si="6"/>
        <v>22.8</v>
      </c>
    </row>
    <row r="38" spans="1:14" s="772" customFormat="1" ht="60.75">
      <c r="A38" s="939"/>
      <c r="B38" s="931">
        <v>17</v>
      </c>
      <c r="C38" s="932" t="s">
        <v>303</v>
      </c>
      <c r="D38" s="963" t="s">
        <v>59</v>
      </c>
      <c r="E38" s="933"/>
      <c r="F38" s="949"/>
      <c r="G38" s="933"/>
      <c r="H38" s="949">
        <v>53.1</v>
      </c>
      <c r="I38" s="933"/>
      <c r="J38" s="949"/>
      <c r="K38" s="933"/>
      <c r="L38" s="949"/>
      <c r="M38" s="980">
        <f t="shared" si="5"/>
        <v>0</v>
      </c>
      <c r="N38" s="951">
        <f t="shared" si="6"/>
        <v>53.1</v>
      </c>
    </row>
    <row r="39" spans="1:14" s="772" customFormat="1" ht="60.75">
      <c r="A39" s="939"/>
      <c r="B39" s="931">
        <v>18</v>
      </c>
      <c r="C39" s="932" t="s">
        <v>304</v>
      </c>
      <c r="D39" s="963" t="s">
        <v>59</v>
      </c>
      <c r="E39" s="933"/>
      <c r="F39" s="949"/>
      <c r="G39" s="933"/>
      <c r="H39" s="949">
        <v>7.3</v>
      </c>
      <c r="I39" s="933"/>
      <c r="J39" s="949"/>
      <c r="K39" s="933"/>
      <c r="L39" s="949"/>
      <c r="M39" s="980">
        <f t="shared" si="5"/>
        <v>0</v>
      </c>
      <c r="N39" s="951">
        <f t="shared" si="6"/>
        <v>7.3</v>
      </c>
    </row>
    <row r="40" spans="1:14" s="314" customFormat="1" ht="57.75" customHeight="1">
      <c r="A40" s="939"/>
      <c r="B40" s="966">
        <v>19</v>
      </c>
      <c r="C40" s="932" t="s">
        <v>305</v>
      </c>
      <c r="D40" s="963" t="s">
        <v>59</v>
      </c>
      <c r="E40" s="933"/>
      <c r="F40" s="949"/>
      <c r="G40" s="933"/>
      <c r="H40" s="949">
        <v>191</v>
      </c>
      <c r="I40" s="933"/>
      <c r="J40" s="949"/>
      <c r="K40" s="933"/>
      <c r="L40" s="949"/>
      <c r="M40" s="980">
        <f t="shared" si="5"/>
        <v>0</v>
      </c>
      <c r="N40" s="951">
        <f t="shared" si="6"/>
        <v>191</v>
      </c>
    </row>
    <row r="41" spans="1:14" s="306" customFormat="1" ht="24" customHeight="1">
      <c r="A41" s="850"/>
      <c r="B41" s="850"/>
      <c r="C41" s="852" t="s">
        <v>481</v>
      </c>
      <c r="D41" s="851"/>
      <c r="E41" s="852">
        <f aca="true" t="shared" si="8" ref="E41:N41">SUM(E36:E40)</f>
        <v>2</v>
      </c>
      <c r="F41" s="964">
        <f t="shared" si="8"/>
        <v>90.2</v>
      </c>
      <c r="G41" s="852">
        <f t="shared" si="8"/>
        <v>0</v>
      </c>
      <c r="H41" s="964">
        <f t="shared" si="8"/>
        <v>274.2</v>
      </c>
      <c r="I41" s="964">
        <f t="shared" si="8"/>
        <v>0</v>
      </c>
      <c r="J41" s="964">
        <f t="shared" si="8"/>
        <v>0</v>
      </c>
      <c r="K41" s="964">
        <f t="shared" si="8"/>
        <v>0</v>
      </c>
      <c r="L41" s="964">
        <f t="shared" si="8"/>
        <v>0</v>
      </c>
      <c r="M41" s="982">
        <f>SUM(M36:M40)</f>
        <v>2</v>
      </c>
      <c r="N41" s="964">
        <f t="shared" si="8"/>
        <v>364.4</v>
      </c>
    </row>
    <row r="42" spans="1:14" s="309" customFormat="1" ht="40.5">
      <c r="A42" s="962" t="s">
        <v>106</v>
      </c>
      <c r="B42" s="947">
        <v>20</v>
      </c>
      <c r="C42" s="967" t="s">
        <v>309</v>
      </c>
      <c r="D42" s="845" t="s">
        <v>50</v>
      </c>
      <c r="E42" s="845">
        <v>13</v>
      </c>
      <c r="F42" s="934">
        <v>1299</v>
      </c>
      <c r="G42" s="935"/>
      <c r="H42" s="650"/>
      <c r="I42" s="936"/>
      <c r="J42" s="936"/>
      <c r="K42" s="936"/>
      <c r="L42" s="936"/>
      <c r="M42" s="980">
        <f t="shared" si="5"/>
        <v>13</v>
      </c>
      <c r="N42" s="951">
        <f t="shared" si="6"/>
        <v>1299</v>
      </c>
    </row>
    <row r="43" spans="1:14" s="309" customFormat="1" ht="21.75" customHeight="1">
      <c r="A43" s="952"/>
      <c r="B43" s="931">
        <v>21</v>
      </c>
      <c r="C43" s="968" t="s">
        <v>310</v>
      </c>
      <c r="D43" s="845" t="s">
        <v>50</v>
      </c>
      <c r="E43" s="933">
        <v>18</v>
      </c>
      <c r="F43" s="949">
        <v>960.8</v>
      </c>
      <c r="G43" s="935"/>
      <c r="H43" s="650"/>
      <c r="I43" s="936"/>
      <c r="J43" s="936"/>
      <c r="K43" s="936"/>
      <c r="L43" s="936"/>
      <c r="M43" s="980">
        <f t="shared" si="5"/>
        <v>18</v>
      </c>
      <c r="N43" s="951">
        <f t="shared" si="6"/>
        <v>960.8</v>
      </c>
    </row>
    <row r="44" spans="1:14" s="311" customFormat="1" ht="36.75" customHeight="1">
      <c r="A44" s="930"/>
      <c r="B44" s="931">
        <v>22</v>
      </c>
      <c r="C44" s="968" t="s">
        <v>311</v>
      </c>
      <c r="D44" s="845" t="s">
        <v>50</v>
      </c>
      <c r="E44" s="845">
        <v>15</v>
      </c>
      <c r="F44" s="969">
        <v>200.2</v>
      </c>
      <c r="G44" s="970"/>
      <c r="H44" s="651"/>
      <c r="I44" s="971"/>
      <c r="J44" s="971"/>
      <c r="K44" s="971"/>
      <c r="L44" s="971"/>
      <c r="M44" s="980">
        <f t="shared" si="5"/>
        <v>15</v>
      </c>
      <c r="N44" s="951">
        <f t="shared" si="6"/>
        <v>200.2</v>
      </c>
    </row>
    <row r="45" spans="1:14" s="309" customFormat="1" ht="81">
      <c r="A45" s="952"/>
      <c r="B45" s="947">
        <v>23</v>
      </c>
      <c r="C45" s="968" t="s">
        <v>312</v>
      </c>
      <c r="D45" s="845" t="s">
        <v>111</v>
      </c>
      <c r="E45" s="933">
        <v>20</v>
      </c>
      <c r="F45" s="949">
        <v>2104.3</v>
      </c>
      <c r="G45" s="935"/>
      <c r="H45" s="650"/>
      <c r="I45" s="936"/>
      <c r="J45" s="936"/>
      <c r="K45" s="936"/>
      <c r="L45" s="936"/>
      <c r="M45" s="980">
        <f t="shared" si="5"/>
        <v>20</v>
      </c>
      <c r="N45" s="951">
        <f t="shared" si="6"/>
        <v>2104.3</v>
      </c>
    </row>
    <row r="46" spans="1:14" s="309" customFormat="1" ht="60.75">
      <c r="A46" s="952"/>
      <c r="B46" s="947">
        <v>24</v>
      </c>
      <c r="C46" s="968" t="s">
        <v>314</v>
      </c>
      <c r="D46" s="845" t="s">
        <v>91</v>
      </c>
      <c r="E46" s="933">
        <v>13</v>
      </c>
      <c r="F46" s="949">
        <v>318.9</v>
      </c>
      <c r="G46" s="935"/>
      <c r="H46" s="650"/>
      <c r="I46" s="936"/>
      <c r="J46" s="936"/>
      <c r="K46" s="936"/>
      <c r="L46" s="936"/>
      <c r="M46" s="980">
        <f t="shared" si="5"/>
        <v>13</v>
      </c>
      <c r="N46" s="951">
        <f>F46+H46+J46+K46+L46</f>
        <v>318.9</v>
      </c>
    </row>
    <row r="47" spans="1:14" s="309" customFormat="1" ht="60.75">
      <c r="A47" s="952"/>
      <c r="B47" s="947">
        <v>25</v>
      </c>
      <c r="C47" s="967" t="s">
        <v>308</v>
      </c>
      <c r="D47" s="845" t="s">
        <v>58</v>
      </c>
      <c r="E47" s="845">
        <v>15</v>
      </c>
      <c r="F47" s="934">
        <v>1361.7</v>
      </c>
      <c r="G47" s="935"/>
      <c r="H47" s="650"/>
      <c r="I47" s="936"/>
      <c r="J47" s="936"/>
      <c r="K47" s="936"/>
      <c r="L47" s="936"/>
      <c r="M47" s="980">
        <f t="shared" si="5"/>
        <v>15</v>
      </c>
      <c r="N47" s="951">
        <f>F47+H47+J47+K47+L47</f>
        <v>1361.7</v>
      </c>
    </row>
    <row r="48" spans="1:14" s="309" customFormat="1" ht="60.75">
      <c r="A48" s="936"/>
      <c r="B48" s="931">
        <v>26</v>
      </c>
      <c r="C48" s="968" t="s">
        <v>307</v>
      </c>
      <c r="D48" s="845" t="s">
        <v>154</v>
      </c>
      <c r="E48" s="933">
        <v>21</v>
      </c>
      <c r="F48" s="949">
        <v>886.2</v>
      </c>
      <c r="G48" s="935"/>
      <c r="H48" s="650"/>
      <c r="I48" s="936"/>
      <c r="J48" s="936"/>
      <c r="K48" s="936"/>
      <c r="L48" s="936"/>
      <c r="M48" s="980">
        <f t="shared" si="5"/>
        <v>21</v>
      </c>
      <c r="N48" s="951">
        <f>F48+H48+J48+K48+L48</f>
        <v>886.2</v>
      </c>
    </row>
    <row r="49" spans="1:14" s="309" customFormat="1" ht="60.75">
      <c r="A49" s="952"/>
      <c r="B49" s="947">
        <v>27</v>
      </c>
      <c r="C49" s="968" t="s">
        <v>313</v>
      </c>
      <c r="D49" s="845" t="s">
        <v>62</v>
      </c>
      <c r="E49" s="933">
        <v>22</v>
      </c>
      <c r="F49" s="949">
        <v>1080.7</v>
      </c>
      <c r="G49" s="935"/>
      <c r="H49" s="650"/>
      <c r="I49" s="936"/>
      <c r="J49" s="936"/>
      <c r="K49" s="936"/>
      <c r="L49" s="936"/>
      <c r="M49" s="980">
        <f t="shared" si="5"/>
        <v>22</v>
      </c>
      <c r="N49" s="951">
        <f t="shared" si="6"/>
        <v>1080.7</v>
      </c>
    </row>
    <row r="50" spans="1:14" s="306" customFormat="1" ht="24" customHeight="1">
      <c r="A50" s="850"/>
      <c r="B50" s="850"/>
      <c r="C50" s="852" t="s">
        <v>481</v>
      </c>
      <c r="D50" s="851"/>
      <c r="E50" s="852">
        <f aca="true" t="shared" si="9" ref="E50:N50">SUM(E42:E49)</f>
        <v>137</v>
      </c>
      <c r="F50" s="938">
        <f t="shared" si="9"/>
        <v>8211.8</v>
      </c>
      <c r="G50" s="852">
        <f t="shared" si="9"/>
        <v>0</v>
      </c>
      <c r="H50" s="938">
        <f t="shared" si="9"/>
        <v>0</v>
      </c>
      <c r="I50" s="852">
        <f t="shared" si="9"/>
        <v>0</v>
      </c>
      <c r="J50" s="938">
        <f t="shared" si="9"/>
        <v>0</v>
      </c>
      <c r="K50" s="938">
        <f t="shared" si="9"/>
        <v>0</v>
      </c>
      <c r="L50" s="938">
        <f t="shared" si="9"/>
        <v>0</v>
      </c>
      <c r="M50" s="981">
        <f>SUM(M42:M49)</f>
        <v>137</v>
      </c>
      <c r="N50" s="938">
        <f t="shared" si="9"/>
        <v>8211.8</v>
      </c>
    </row>
    <row r="51" spans="1:14" s="319" customFormat="1" ht="60.75">
      <c r="A51" s="972" t="s">
        <v>107</v>
      </c>
      <c r="B51" s="973">
        <v>28</v>
      </c>
      <c r="C51" s="975" t="s">
        <v>292</v>
      </c>
      <c r="D51" s="974" t="s">
        <v>58</v>
      </c>
      <c r="E51" s="974"/>
      <c r="F51" s="976"/>
      <c r="G51" s="974"/>
      <c r="H51" s="977"/>
      <c r="I51" s="978">
        <v>1</v>
      </c>
      <c r="J51" s="978">
        <f>37.9</f>
        <v>37.9</v>
      </c>
      <c r="K51" s="978"/>
      <c r="L51" s="978"/>
      <c r="M51" s="980">
        <f t="shared" si="5"/>
        <v>0</v>
      </c>
      <c r="N51" s="951">
        <f t="shared" si="6"/>
        <v>37.9</v>
      </c>
    </row>
    <row r="52" spans="1:14" s="306" customFormat="1" ht="24" customHeight="1" thickBot="1">
      <c r="A52" s="850"/>
      <c r="B52" s="850"/>
      <c r="C52" s="852" t="s">
        <v>481</v>
      </c>
      <c r="D52" s="851"/>
      <c r="E52" s="983">
        <f aca="true" t="shared" si="10" ref="E52:N52">SUM(E51)</f>
        <v>0</v>
      </c>
      <c r="F52" s="938">
        <f t="shared" si="10"/>
        <v>0</v>
      </c>
      <c r="G52" s="986">
        <f>SUM(G51)</f>
        <v>0</v>
      </c>
      <c r="H52" s="987">
        <f>SUM(H51)</f>
        <v>0</v>
      </c>
      <c r="I52" s="988">
        <f t="shared" si="10"/>
        <v>1</v>
      </c>
      <c r="J52" s="987">
        <f t="shared" si="10"/>
        <v>37.9</v>
      </c>
      <c r="K52" s="986">
        <f t="shared" si="10"/>
        <v>0</v>
      </c>
      <c r="L52" s="986">
        <f t="shared" si="10"/>
        <v>0</v>
      </c>
      <c r="M52" s="986">
        <f t="shared" si="10"/>
        <v>0</v>
      </c>
      <c r="N52" s="987">
        <f t="shared" si="10"/>
        <v>37.9</v>
      </c>
    </row>
    <row r="53" spans="1:14" s="318" customFormat="1" ht="18.75" customHeight="1" thickBot="1">
      <c r="A53" s="979"/>
      <c r="B53" s="857"/>
      <c r="C53" s="859" t="s">
        <v>507</v>
      </c>
      <c r="D53" s="858"/>
      <c r="E53" s="860">
        <f>SUM(E4:E52)/2</f>
        <v>255</v>
      </c>
      <c r="F53" s="885">
        <f>SUM(F4:F52)/2</f>
        <v>16872.07</v>
      </c>
      <c r="G53" s="989">
        <f>SUM(G52)</f>
        <v>0</v>
      </c>
      <c r="H53" s="317">
        <f aca="true" t="shared" si="11" ref="H53:N53">SUM(H4:H52)/2</f>
        <v>274.2</v>
      </c>
      <c r="I53" s="832">
        <f t="shared" si="11"/>
        <v>21</v>
      </c>
      <c r="J53" s="317">
        <f t="shared" si="11"/>
        <v>1124.6400000000003</v>
      </c>
      <c r="K53" s="317">
        <f t="shared" si="11"/>
        <v>115</v>
      </c>
      <c r="L53" s="317">
        <f t="shared" si="11"/>
        <v>841.5000000000001</v>
      </c>
      <c r="M53" s="832">
        <f t="shared" si="11"/>
        <v>255</v>
      </c>
      <c r="N53" s="990">
        <f t="shared" si="11"/>
        <v>19227.410000000003</v>
      </c>
    </row>
    <row r="54" spans="1:8" s="124" customFormat="1" ht="19.5" customHeight="1">
      <c r="A54" s="149"/>
      <c r="B54" s="208"/>
      <c r="C54" s="198"/>
      <c r="D54" s="105"/>
      <c r="E54" s="146"/>
      <c r="F54" s="300"/>
      <c r="G54" s="838"/>
      <c r="H54" s="91"/>
    </row>
    <row r="55" spans="1:8" s="124" customFormat="1" ht="19.5" customHeight="1">
      <c r="A55" s="67"/>
      <c r="B55" s="99"/>
      <c r="C55" s="198"/>
      <c r="D55" s="148"/>
      <c r="E55" s="146"/>
      <c r="F55" s="299"/>
      <c r="G55" s="838"/>
      <c r="H55" s="91"/>
    </row>
    <row r="56" spans="1:8" s="8" customFormat="1" ht="18.75" customHeight="1">
      <c r="A56" s="203"/>
      <c r="B56" s="145"/>
      <c r="C56" s="197"/>
      <c r="D56" s="148"/>
      <c r="E56" s="215"/>
      <c r="F56" s="301"/>
      <c r="G56" s="719"/>
      <c r="H56" s="91"/>
    </row>
    <row r="57" spans="1:8" s="8" customFormat="1" ht="18.75" customHeight="1">
      <c r="A57" s="203"/>
      <c r="B57" s="145"/>
      <c r="C57" s="197"/>
      <c r="D57" s="148"/>
      <c r="E57" s="146"/>
      <c r="F57" s="299"/>
      <c r="G57" s="719"/>
      <c r="H57" s="91"/>
    </row>
    <row r="58" spans="1:8" s="8" customFormat="1" ht="18.75" customHeight="1">
      <c r="A58" s="203"/>
      <c r="B58" s="145"/>
      <c r="C58" s="197"/>
      <c r="D58" s="148"/>
      <c r="E58" s="215"/>
      <c r="F58" s="301"/>
      <c r="G58" s="719"/>
      <c r="H58" s="91"/>
    </row>
    <row r="59" spans="1:8" s="8" customFormat="1" ht="18.75" customHeight="1">
      <c r="A59" s="203"/>
      <c r="B59" s="145"/>
      <c r="C59" s="197"/>
      <c r="D59" s="148"/>
      <c r="E59" s="215"/>
      <c r="F59" s="299"/>
      <c r="G59" s="719"/>
      <c r="H59" s="91"/>
    </row>
    <row r="60" spans="1:8" s="8" customFormat="1" ht="18.75" customHeight="1">
      <c r="A60" s="203"/>
      <c r="B60" s="145"/>
      <c r="C60" s="197"/>
      <c r="D60" s="148"/>
      <c r="E60" s="146"/>
      <c r="F60" s="299"/>
      <c r="G60" s="719"/>
      <c r="H60" s="91"/>
    </row>
    <row r="61" spans="1:8" s="8" customFormat="1" ht="18.75" customHeight="1">
      <c r="A61" s="203"/>
      <c r="B61" s="145"/>
      <c r="C61" s="197"/>
      <c r="D61" s="148"/>
      <c r="E61" s="146"/>
      <c r="F61" s="299"/>
      <c r="G61" s="719"/>
      <c r="H61" s="91"/>
    </row>
    <row r="62" spans="1:8" s="124" customFormat="1" ht="19.5" customHeight="1">
      <c r="A62" s="117"/>
      <c r="B62" s="145"/>
      <c r="C62" s="196"/>
      <c r="D62" s="226"/>
      <c r="E62" s="146"/>
      <c r="F62" s="299"/>
      <c r="G62" s="838"/>
      <c r="H62" s="91"/>
    </row>
    <row r="63" spans="1:8" s="124" customFormat="1" ht="19.5" customHeight="1">
      <c r="A63" s="117"/>
      <c r="B63" s="145"/>
      <c r="C63" s="196"/>
      <c r="D63" s="226"/>
      <c r="E63" s="146"/>
      <c r="F63" s="299"/>
      <c r="G63" s="838"/>
      <c r="H63" s="91"/>
    </row>
    <row r="64" ht="21.75">
      <c r="F64" s="302"/>
    </row>
    <row r="65" ht="21.75">
      <c r="F65" s="302"/>
    </row>
    <row r="66" spans="1:8" s="235" customFormat="1" ht="21.75" customHeight="1">
      <c r="A66" s="234"/>
      <c r="B66" s="214"/>
      <c r="D66" s="236"/>
      <c r="E66" s="234"/>
      <c r="F66" s="303"/>
      <c r="G66" s="234"/>
      <c r="H66" s="237"/>
    </row>
    <row r="67" spans="1:8" s="3" customFormat="1" ht="18" customHeight="1">
      <c r="A67" s="119"/>
      <c r="B67" s="214"/>
      <c r="C67" s="199"/>
      <c r="D67" s="120"/>
      <c r="E67" s="118"/>
      <c r="F67" s="304"/>
      <c r="G67" s="2"/>
      <c r="H67"/>
    </row>
    <row r="68" spans="2:6" ht="19.5" customHeight="1">
      <c r="B68" s="98"/>
      <c r="C68" s="200"/>
      <c r="F68" s="305"/>
    </row>
    <row r="69" spans="2:6" ht="17.25">
      <c r="B69" s="98"/>
      <c r="C69" s="200"/>
      <c r="F69" s="305"/>
    </row>
    <row r="70" spans="2:6" ht="17.25">
      <c r="B70" s="98"/>
      <c r="C70" s="200"/>
      <c r="F70" s="305"/>
    </row>
    <row r="71" spans="2:6" ht="17.25">
      <c r="B71" s="98"/>
      <c r="C71" s="200"/>
      <c r="F71" s="305"/>
    </row>
    <row r="72" spans="2:6" ht="17.25">
      <c r="B72" s="98"/>
      <c r="C72" s="200"/>
      <c r="F72" s="305"/>
    </row>
    <row r="73" spans="2:6" ht="17.25">
      <c r="B73" s="98"/>
      <c r="C73" s="200"/>
      <c r="F73" s="305"/>
    </row>
    <row r="74" spans="2:6" ht="17.25">
      <c r="B74" s="98"/>
      <c r="C74" s="200"/>
      <c r="F74" s="305"/>
    </row>
    <row r="75" spans="2:6" ht="17.25">
      <c r="B75" s="98"/>
      <c r="C75" s="200"/>
      <c r="F75" s="305"/>
    </row>
    <row r="76" spans="2:6" ht="17.25">
      <c r="B76" s="98"/>
      <c r="C76" s="200"/>
      <c r="F76" s="305"/>
    </row>
    <row r="77" spans="2:6" ht="17.25">
      <c r="B77" s="98"/>
      <c r="C77" s="200"/>
      <c r="F77" s="305"/>
    </row>
    <row r="78" spans="2:6" ht="17.25">
      <c r="B78" s="98"/>
      <c r="C78" s="200"/>
      <c r="F78" s="305"/>
    </row>
    <row r="79" spans="2:6" ht="17.25">
      <c r="B79" s="98"/>
      <c r="C79" s="200"/>
      <c r="F79" s="305"/>
    </row>
    <row r="80" spans="2:6" ht="17.25">
      <c r="B80" s="98"/>
      <c r="C80" s="200"/>
      <c r="F80" s="305"/>
    </row>
    <row r="81" spans="2:6" ht="17.25">
      <c r="B81" s="98"/>
      <c r="C81" s="200"/>
      <c r="F81" s="305"/>
    </row>
    <row r="82" spans="2:6" ht="17.25">
      <c r="B82" s="98"/>
      <c r="C82" s="200"/>
      <c r="F82" s="305"/>
    </row>
    <row r="83" spans="2:6" ht="17.25">
      <c r="B83" s="98"/>
      <c r="C83" s="200"/>
      <c r="F83" s="305"/>
    </row>
    <row r="84" spans="2:7" ht="17.25">
      <c r="B84" s="98"/>
      <c r="C84" s="200"/>
      <c r="G84" s="837"/>
    </row>
    <row r="85" spans="2:7" ht="17.25">
      <c r="B85" s="98"/>
      <c r="C85" s="200"/>
      <c r="G85" s="837"/>
    </row>
    <row r="86" spans="2:7" ht="17.25">
      <c r="B86" s="98"/>
      <c r="C86" s="200"/>
      <c r="G86" s="837"/>
    </row>
    <row r="87" spans="2:7" ht="17.25">
      <c r="B87" s="98"/>
      <c r="C87" s="200"/>
      <c r="G87" s="837"/>
    </row>
    <row r="88" spans="2:7" ht="17.25">
      <c r="B88" s="98"/>
      <c r="C88" s="200"/>
      <c r="G88" s="837"/>
    </row>
    <row r="89" spans="2:7" ht="17.25">
      <c r="B89" s="98"/>
      <c r="C89" s="200"/>
      <c r="G89" s="837"/>
    </row>
    <row r="90" spans="2:7" ht="17.25">
      <c r="B90" s="98"/>
      <c r="C90" s="200"/>
      <c r="G90" s="837"/>
    </row>
    <row r="91" spans="2:7" ht="17.25">
      <c r="B91" s="98"/>
      <c r="C91" s="200"/>
      <c r="G91" s="837"/>
    </row>
    <row r="92" spans="2:7" ht="17.25">
      <c r="B92" s="98"/>
      <c r="C92" s="200"/>
      <c r="G92" s="837"/>
    </row>
    <row r="93" spans="2:7" ht="17.25">
      <c r="B93" s="98"/>
      <c r="C93" s="200"/>
      <c r="G93" s="837"/>
    </row>
    <row r="94" spans="2:7" ht="17.25">
      <c r="B94" s="98"/>
      <c r="C94" s="200"/>
      <c r="G94" s="837"/>
    </row>
    <row r="95" spans="2:7" ht="17.25">
      <c r="B95" s="98"/>
      <c r="C95" s="200"/>
      <c r="G95" s="837"/>
    </row>
    <row r="96" spans="2:7" ht="17.25">
      <c r="B96" s="98"/>
      <c r="C96" s="200"/>
      <c r="G96" s="837"/>
    </row>
    <row r="97" spans="2:7" ht="17.25">
      <c r="B97" s="98"/>
      <c r="C97" s="200"/>
      <c r="G97" s="837"/>
    </row>
    <row r="98" spans="2:7" ht="17.25">
      <c r="B98" s="98"/>
      <c r="C98" s="200"/>
      <c r="G98" s="837"/>
    </row>
    <row r="99" spans="2:7" ht="17.25">
      <c r="B99" s="98"/>
      <c r="C99" s="200"/>
      <c r="G99" s="837"/>
    </row>
    <row r="100" spans="2:7" ht="17.25">
      <c r="B100" s="98"/>
      <c r="C100" s="200"/>
      <c r="G100" s="837"/>
    </row>
    <row r="101" spans="2:7" ht="17.25">
      <c r="B101" s="98"/>
      <c r="C101" s="200"/>
      <c r="G101" s="837"/>
    </row>
    <row r="102" spans="2:7" ht="17.25">
      <c r="B102" s="98"/>
      <c r="C102" s="200"/>
      <c r="G102" s="837"/>
    </row>
    <row r="103" spans="2:7" ht="17.25">
      <c r="B103" s="98"/>
      <c r="C103" s="200"/>
      <c r="G103" s="837"/>
    </row>
    <row r="104" spans="2:7" ht="17.25">
      <c r="B104" s="98"/>
      <c r="C104" s="200"/>
      <c r="G104" s="837"/>
    </row>
    <row r="105" spans="2:7" ht="17.25">
      <c r="B105" s="98"/>
      <c r="C105" s="200"/>
      <c r="G105" s="837"/>
    </row>
    <row r="106" spans="2:7" ht="17.25">
      <c r="B106" s="98"/>
      <c r="C106" s="200"/>
      <c r="G106" s="837"/>
    </row>
    <row r="107" spans="2:7" ht="17.25">
      <c r="B107" s="98"/>
      <c r="C107" s="200"/>
      <c r="G107" s="837"/>
    </row>
    <row r="108" spans="2:7" ht="17.25">
      <c r="B108" s="98"/>
      <c r="C108" s="200"/>
      <c r="G108" s="837"/>
    </row>
    <row r="109" spans="2:7" ht="17.25">
      <c r="B109" s="98"/>
      <c r="C109" s="200"/>
      <c r="G109" s="837"/>
    </row>
    <row r="110" spans="2:7" ht="17.25">
      <c r="B110" s="98"/>
      <c r="C110" s="200"/>
      <c r="G110" s="837"/>
    </row>
    <row r="111" spans="2:7" ht="18.75" customHeight="1">
      <c r="B111" s="98"/>
      <c r="C111" s="200"/>
      <c r="G111" s="837"/>
    </row>
    <row r="112" spans="2:7" ht="18" customHeight="1">
      <c r="B112" s="98"/>
      <c r="C112" s="200"/>
      <c r="G112" s="837"/>
    </row>
    <row r="113" spans="2:7" ht="18" customHeight="1">
      <c r="B113" s="98"/>
      <c r="C113" s="200"/>
      <c r="G113" s="837"/>
    </row>
    <row r="114" spans="2:7" ht="18.75" customHeight="1">
      <c r="B114" s="98"/>
      <c r="C114" s="200"/>
      <c r="G114" s="837"/>
    </row>
    <row r="115" spans="2:7" ht="18.75" customHeight="1">
      <c r="B115" s="98"/>
      <c r="C115" s="200"/>
      <c r="G115" s="837"/>
    </row>
    <row r="116" spans="2:7" ht="17.25" customHeight="1">
      <c r="B116" s="98"/>
      <c r="C116" s="200"/>
      <c r="G116" s="837"/>
    </row>
    <row r="117" spans="2:7" ht="19.5" customHeight="1">
      <c r="B117" s="98"/>
      <c r="C117" s="200"/>
      <c r="G117" s="837"/>
    </row>
    <row r="118" spans="2:7" ht="19.5" customHeight="1">
      <c r="B118" s="98"/>
      <c r="C118" s="200"/>
      <c r="G118" s="837"/>
    </row>
    <row r="119" spans="2:7" ht="17.25">
      <c r="B119" s="98"/>
      <c r="C119" s="200"/>
      <c r="G119" s="837"/>
    </row>
    <row r="120" spans="2:7" ht="18.75" customHeight="1">
      <c r="B120" s="98"/>
      <c r="C120" s="200"/>
      <c r="G120" s="837"/>
    </row>
    <row r="121" spans="2:7" ht="18.75" customHeight="1">
      <c r="B121" s="98"/>
      <c r="C121" s="200"/>
      <c r="G121" s="837"/>
    </row>
    <row r="122" spans="2:7" ht="18.75" customHeight="1">
      <c r="B122" s="98"/>
      <c r="C122" s="200"/>
      <c r="G122" s="837"/>
    </row>
    <row r="123" spans="2:7" ht="18.75" customHeight="1">
      <c r="B123" s="98"/>
      <c r="C123" s="200"/>
      <c r="G123" s="837"/>
    </row>
    <row r="124" spans="2:7" ht="19.5" customHeight="1">
      <c r="B124" s="98"/>
      <c r="C124" s="200"/>
      <c r="G124" s="837"/>
    </row>
    <row r="125" spans="2:7" ht="17.25">
      <c r="B125" s="98"/>
      <c r="C125" s="200"/>
      <c r="G125" s="837"/>
    </row>
    <row r="126" spans="2:7" ht="17.25">
      <c r="B126" s="98"/>
      <c r="C126" s="200"/>
      <c r="G126" s="837"/>
    </row>
    <row r="127" spans="2:7" ht="17.25">
      <c r="B127" s="98"/>
      <c r="C127" s="200"/>
      <c r="G127" s="837"/>
    </row>
    <row r="128" spans="2:7" ht="17.25">
      <c r="B128" s="98"/>
      <c r="C128" s="200"/>
      <c r="G128" s="837"/>
    </row>
    <row r="129" spans="2:7" ht="17.25">
      <c r="B129" s="98"/>
      <c r="C129" s="200"/>
      <c r="G129" s="837"/>
    </row>
    <row r="130" spans="2:7" ht="17.25">
      <c r="B130" s="98"/>
      <c r="C130" s="200"/>
      <c r="G130" s="837"/>
    </row>
    <row r="131" spans="2:7" ht="17.25">
      <c r="B131" s="98"/>
      <c r="C131" s="200"/>
      <c r="G131" s="837"/>
    </row>
    <row r="132" spans="2:7" ht="17.25">
      <c r="B132" s="98"/>
      <c r="C132" s="200"/>
      <c r="G132" s="837"/>
    </row>
    <row r="133" spans="2:7" ht="17.25">
      <c r="B133" s="98"/>
      <c r="C133" s="200"/>
      <c r="G133" s="837"/>
    </row>
    <row r="134" spans="2:7" ht="17.25">
      <c r="B134" s="98"/>
      <c r="C134" s="200"/>
      <c r="G134" s="837"/>
    </row>
    <row r="135" spans="2:7" ht="17.25">
      <c r="B135" s="98"/>
      <c r="C135" s="200"/>
      <c r="G135" s="837"/>
    </row>
    <row r="136" spans="2:7" ht="17.25">
      <c r="B136" s="98"/>
      <c r="C136" s="200"/>
      <c r="G136" s="837"/>
    </row>
    <row r="137" spans="2:7" ht="17.25">
      <c r="B137" s="98"/>
      <c r="C137" s="200"/>
      <c r="G137" s="837"/>
    </row>
    <row r="138" spans="2:7" ht="17.25">
      <c r="B138" s="98"/>
      <c r="C138" s="200"/>
      <c r="G138" s="837"/>
    </row>
    <row r="139" spans="2:7" ht="17.25">
      <c r="B139" s="98"/>
      <c r="C139" s="200"/>
      <c r="G139" s="837"/>
    </row>
    <row r="140" spans="2:7" ht="17.25">
      <c r="B140" s="98"/>
      <c r="C140" s="200"/>
      <c r="G140" s="837"/>
    </row>
    <row r="141" spans="2:7" ht="17.25">
      <c r="B141" s="98"/>
      <c r="C141" s="200"/>
      <c r="G141" s="837"/>
    </row>
    <row r="142" spans="1:8" s="26" customFormat="1" ht="21">
      <c r="A142" s="25"/>
      <c r="B142" s="216"/>
      <c r="C142" s="201"/>
      <c r="D142" s="121"/>
      <c r="E142" s="25"/>
      <c r="G142" s="25"/>
      <c r="H142"/>
    </row>
    <row r="143" spans="1:8" s="26" customFormat="1" ht="21">
      <c r="A143" s="25"/>
      <c r="B143" s="216"/>
      <c r="C143" s="201"/>
      <c r="D143" s="121"/>
      <c r="E143" s="25"/>
      <c r="G143" s="25"/>
      <c r="H143"/>
    </row>
    <row r="144" spans="1:8" s="26" customFormat="1" ht="21">
      <c r="A144" s="25"/>
      <c r="B144" s="216"/>
      <c r="C144" s="201"/>
      <c r="D144" s="121"/>
      <c r="E144" s="25"/>
      <c r="G144" s="25"/>
      <c r="H144"/>
    </row>
    <row r="145" spans="1:8" s="26" customFormat="1" ht="21">
      <c r="A145" s="25"/>
      <c r="B145" s="216"/>
      <c r="C145" s="201"/>
      <c r="D145" s="121"/>
      <c r="E145" s="25"/>
      <c r="G145" s="25"/>
      <c r="H145"/>
    </row>
    <row r="146" spans="1:8" s="26" customFormat="1" ht="21">
      <c r="A146" s="25"/>
      <c r="B146" s="216"/>
      <c r="C146" s="201"/>
      <c r="D146" s="121"/>
      <c r="E146" s="25"/>
      <c r="G146" s="25"/>
      <c r="H146"/>
    </row>
    <row r="147" spans="1:8" s="26" customFormat="1" ht="21">
      <c r="A147" s="25"/>
      <c r="B147" s="216"/>
      <c r="C147" s="201"/>
      <c r="D147" s="121"/>
      <c r="E147" s="25"/>
      <c r="G147" s="25"/>
      <c r="H147"/>
    </row>
    <row r="148" spans="1:8" s="26" customFormat="1" ht="21">
      <c r="A148" s="25"/>
      <c r="B148" s="216"/>
      <c r="C148" s="201"/>
      <c r="D148" s="121"/>
      <c r="E148" s="25"/>
      <c r="G148" s="25"/>
      <c r="H148"/>
    </row>
    <row r="149" spans="1:8" s="26" customFormat="1" ht="21">
      <c r="A149" s="25"/>
      <c r="B149" s="216"/>
      <c r="C149" s="201"/>
      <c r="D149" s="121"/>
      <c r="E149" s="25"/>
      <c r="G149" s="25"/>
      <c r="H149"/>
    </row>
    <row r="150" spans="1:8" s="26" customFormat="1" ht="21">
      <c r="A150" s="25"/>
      <c r="B150" s="216"/>
      <c r="C150" s="201"/>
      <c r="D150" s="121"/>
      <c r="E150" s="25"/>
      <c r="G150" s="25"/>
      <c r="H150"/>
    </row>
    <row r="151" spans="1:8" s="26" customFormat="1" ht="21">
      <c r="A151" s="25"/>
      <c r="B151" s="216"/>
      <c r="C151" s="201"/>
      <c r="D151" s="121"/>
      <c r="E151" s="25"/>
      <c r="G151" s="25"/>
      <c r="H151"/>
    </row>
    <row r="152" spans="1:8" s="26" customFormat="1" ht="21">
      <c r="A152" s="25"/>
      <c r="B152" s="216"/>
      <c r="C152" s="201"/>
      <c r="D152" s="121"/>
      <c r="E152" s="25"/>
      <c r="G152" s="25"/>
      <c r="H152"/>
    </row>
    <row r="153" spans="1:8" s="26" customFormat="1" ht="21">
      <c r="A153" s="25"/>
      <c r="B153" s="216"/>
      <c r="C153" s="201"/>
      <c r="D153" s="121"/>
      <c r="E153" s="25"/>
      <c r="G153" s="25"/>
      <c r="H153"/>
    </row>
    <row r="154" spans="1:8" s="26" customFormat="1" ht="21">
      <c r="A154" s="25"/>
      <c r="B154" s="216"/>
      <c r="C154" s="201"/>
      <c r="D154" s="121"/>
      <c r="E154" s="25"/>
      <c r="G154" s="25"/>
      <c r="H154"/>
    </row>
    <row r="155" spans="1:8" s="26" customFormat="1" ht="21">
      <c r="A155" s="25"/>
      <c r="B155" s="216"/>
      <c r="C155" s="201"/>
      <c r="D155" s="121"/>
      <c r="E155" s="25"/>
      <c r="G155" s="25"/>
      <c r="H155"/>
    </row>
    <row r="156" spans="1:8" s="26" customFormat="1" ht="21">
      <c r="A156" s="25"/>
      <c r="B156" s="216"/>
      <c r="C156" s="201"/>
      <c r="D156" s="121"/>
      <c r="E156" s="25"/>
      <c r="G156" s="25"/>
      <c r="H156"/>
    </row>
    <row r="157" spans="1:8" s="26" customFormat="1" ht="21">
      <c r="A157" s="25"/>
      <c r="B157" s="216"/>
      <c r="C157" s="201"/>
      <c r="D157" s="121"/>
      <c r="E157" s="25"/>
      <c r="G157" s="25"/>
      <c r="H157"/>
    </row>
    <row r="158" spans="1:8" s="26" customFormat="1" ht="21">
      <c r="A158" s="25"/>
      <c r="B158" s="216"/>
      <c r="C158" s="201"/>
      <c r="D158" s="121"/>
      <c r="E158" s="25"/>
      <c r="G158" s="25"/>
      <c r="H158"/>
    </row>
    <row r="159" spans="1:8" s="26" customFormat="1" ht="21">
      <c r="A159" s="25"/>
      <c r="B159" s="216"/>
      <c r="C159" s="201"/>
      <c r="D159" s="121"/>
      <c r="E159" s="25"/>
      <c r="G159" s="25"/>
      <c r="H159"/>
    </row>
    <row r="160" spans="1:8" s="26" customFormat="1" ht="21">
      <c r="A160" s="25"/>
      <c r="B160" s="216"/>
      <c r="C160" s="201"/>
      <c r="D160" s="121"/>
      <c r="E160" s="25"/>
      <c r="G160" s="25"/>
      <c r="H160"/>
    </row>
    <row r="161" spans="1:8" s="26" customFormat="1" ht="21">
      <c r="A161" s="25"/>
      <c r="B161" s="216"/>
      <c r="C161" s="201"/>
      <c r="D161" s="121"/>
      <c r="E161" s="25"/>
      <c r="G161" s="25"/>
      <c r="H161"/>
    </row>
    <row r="162" spans="1:8" s="26" customFormat="1" ht="21">
      <c r="A162" s="25"/>
      <c r="B162" s="216"/>
      <c r="C162" s="201"/>
      <c r="D162" s="121"/>
      <c r="E162" s="25"/>
      <c r="G162" s="25"/>
      <c r="H162"/>
    </row>
    <row r="163" spans="1:8" s="26" customFormat="1" ht="21">
      <c r="A163" s="25"/>
      <c r="B163" s="216"/>
      <c r="C163" s="201"/>
      <c r="D163" s="121"/>
      <c r="E163" s="25"/>
      <c r="G163" s="25"/>
      <c r="H163"/>
    </row>
    <row r="164" spans="1:8" s="26" customFormat="1" ht="21">
      <c r="A164" s="25"/>
      <c r="B164" s="216"/>
      <c r="C164" s="201"/>
      <c r="D164" s="121"/>
      <c r="E164" s="25"/>
      <c r="G164" s="25"/>
      <c r="H164"/>
    </row>
    <row r="165" spans="1:8" s="26" customFormat="1" ht="21">
      <c r="A165" s="25"/>
      <c r="B165" s="216"/>
      <c r="C165" s="201"/>
      <c r="D165" s="121"/>
      <c r="E165" s="25"/>
      <c r="G165" s="25"/>
      <c r="H165"/>
    </row>
    <row r="166" spans="1:8" s="26" customFormat="1" ht="21">
      <c r="A166" s="25"/>
      <c r="B166" s="216"/>
      <c r="C166" s="201"/>
      <c r="D166" s="121"/>
      <c r="E166" s="25"/>
      <c r="G166" s="25"/>
      <c r="H166"/>
    </row>
    <row r="167" spans="1:8" s="26" customFormat="1" ht="21">
      <c r="A167" s="25"/>
      <c r="B167" s="216"/>
      <c r="C167" s="201"/>
      <c r="D167" s="121"/>
      <c r="E167" s="25"/>
      <c r="G167" s="25"/>
      <c r="H167"/>
    </row>
    <row r="168" spans="1:8" s="26" customFormat="1" ht="21">
      <c r="A168" s="25"/>
      <c r="B168" s="216"/>
      <c r="C168" s="201"/>
      <c r="D168" s="121"/>
      <c r="E168" s="25"/>
      <c r="G168" s="25"/>
      <c r="H168"/>
    </row>
    <row r="169" spans="1:8" s="26" customFormat="1" ht="21">
      <c r="A169" s="25"/>
      <c r="B169" s="216"/>
      <c r="C169" s="201"/>
      <c r="D169" s="121"/>
      <c r="E169" s="25"/>
      <c r="G169" s="25"/>
      <c r="H169"/>
    </row>
    <row r="170" spans="1:8" s="26" customFormat="1" ht="21">
      <c r="A170" s="25"/>
      <c r="B170" s="216"/>
      <c r="C170" s="201"/>
      <c r="D170" s="121"/>
      <c r="E170" s="25"/>
      <c r="G170" s="25"/>
      <c r="H170"/>
    </row>
    <row r="171" spans="1:8" s="26" customFormat="1" ht="21">
      <c r="A171" s="25"/>
      <c r="B171" s="216"/>
      <c r="C171" s="201"/>
      <c r="D171" s="121"/>
      <c r="E171" s="25"/>
      <c r="G171" s="25"/>
      <c r="H171"/>
    </row>
    <row r="172" spans="1:8" s="26" customFormat="1" ht="21">
      <c r="A172" s="25"/>
      <c r="B172" s="216"/>
      <c r="C172" s="201"/>
      <c r="D172" s="121"/>
      <c r="E172" s="25"/>
      <c r="G172" s="25"/>
      <c r="H172"/>
    </row>
    <row r="173" spans="1:8" s="26" customFormat="1" ht="21">
      <c r="A173" s="25"/>
      <c r="B173" s="216"/>
      <c r="C173" s="201"/>
      <c r="D173" s="121"/>
      <c r="E173" s="25"/>
      <c r="G173" s="25"/>
      <c r="H173"/>
    </row>
    <row r="174" spans="1:8" s="26" customFormat="1" ht="21">
      <c r="A174" s="25"/>
      <c r="B174" s="216"/>
      <c r="C174" s="201"/>
      <c r="D174" s="121"/>
      <c r="E174" s="25"/>
      <c r="G174" s="25"/>
      <c r="H174"/>
    </row>
    <row r="175" spans="1:8" s="26" customFormat="1" ht="21">
      <c r="A175" s="25"/>
      <c r="B175" s="216"/>
      <c r="C175" s="201"/>
      <c r="D175" s="121"/>
      <c r="E175" s="25"/>
      <c r="G175" s="25"/>
      <c r="H175"/>
    </row>
    <row r="176" spans="1:8" s="26" customFormat="1" ht="21">
      <c r="A176" s="25"/>
      <c r="B176" s="216"/>
      <c r="C176" s="201"/>
      <c r="D176" s="121"/>
      <c r="E176" s="25"/>
      <c r="G176" s="25"/>
      <c r="H176"/>
    </row>
    <row r="177" spans="1:8" s="26" customFormat="1" ht="21">
      <c r="A177" s="25"/>
      <c r="B177" s="216"/>
      <c r="C177" s="201"/>
      <c r="D177" s="121"/>
      <c r="E177" s="25"/>
      <c r="G177" s="25"/>
      <c r="H177"/>
    </row>
    <row r="178" spans="1:8" s="26" customFormat="1" ht="21">
      <c r="A178" s="25"/>
      <c r="B178" s="216"/>
      <c r="C178" s="201"/>
      <c r="D178" s="121"/>
      <c r="E178" s="25"/>
      <c r="G178" s="25"/>
      <c r="H178"/>
    </row>
    <row r="179" spans="1:8" s="26" customFormat="1" ht="21">
      <c r="A179" s="25"/>
      <c r="B179" s="216"/>
      <c r="C179" s="201"/>
      <c r="D179" s="121"/>
      <c r="E179" s="25"/>
      <c r="G179" s="25"/>
      <c r="H179"/>
    </row>
    <row r="180" spans="1:8" s="26" customFormat="1" ht="21">
      <c r="A180" s="25"/>
      <c r="B180" s="216"/>
      <c r="C180" s="201"/>
      <c r="D180" s="121"/>
      <c r="E180" s="25"/>
      <c r="G180" s="25"/>
      <c r="H180"/>
    </row>
    <row r="181" spans="1:8" s="26" customFormat="1" ht="21">
      <c r="A181" s="25"/>
      <c r="B181" s="216"/>
      <c r="C181" s="201"/>
      <c r="D181" s="121"/>
      <c r="E181" s="25"/>
      <c r="G181" s="25"/>
      <c r="H181"/>
    </row>
    <row r="182" spans="1:8" s="26" customFormat="1" ht="21">
      <c r="A182" s="25"/>
      <c r="B182" s="216"/>
      <c r="C182" s="201"/>
      <c r="D182" s="121"/>
      <c r="E182" s="25"/>
      <c r="G182" s="25"/>
      <c r="H182"/>
    </row>
    <row r="183" spans="1:8" s="26" customFormat="1" ht="21">
      <c r="A183" s="25"/>
      <c r="B183" s="216"/>
      <c r="C183" s="201"/>
      <c r="D183" s="121"/>
      <c r="E183" s="25"/>
      <c r="G183" s="25"/>
      <c r="H183"/>
    </row>
    <row r="184" spans="1:8" s="26" customFormat="1" ht="21">
      <c r="A184" s="25"/>
      <c r="B184" s="216"/>
      <c r="C184" s="201"/>
      <c r="D184" s="121"/>
      <c r="E184" s="25"/>
      <c r="G184" s="25"/>
      <c r="H184"/>
    </row>
    <row r="185" spans="1:8" s="26" customFormat="1" ht="21">
      <c r="A185" s="25"/>
      <c r="B185" s="216"/>
      <c r="C185" s="201"/>
      <c r="D185" s="121"/>
      <c r="E185" s="25"/>
      <c r="G185" s="25"/>
      <c r="H185"/>
    </row>
    <row r="186" spans="1:8" s="26" customFormat="1" ht="21">
      <c r="A186" s="25"/>
      <c r="B186" s="216"/>
      <c r="C186" s="201"/>
      <c r="D186" s="121"/>
      <c r="E186" s="25"/>
      <c r="G186" s="25"/>
      <c r="H186"/>
    </row>
    <row r="187" spans="1:8" s="26" customFormat="1" ht="21">
      <c r="A187" s="25"/>
      <c r="B187" s="216"/>
      <c r="C187" s="201"/>
      <c r="D187" s="121"/>
      <c r="E187" s="25"/>
      <c r="G187" s="25"/>
      <c r="H187"/>
    </row>
    <row r="188" spans="1:8" s="26" customFormat="1" ht="21">
      <c r="A188" s="25"/>
      <c r="B188" s="216"/>
      <c r="C188" s="201"/>
      <c r="D188" s="121"/>
      <c r="E188" s="25"/>
      <c r="G188" s="25"/>
      <c r="H188"/>
    </row>
    <row r="189" spans="1:8" s="26" customFormat="1" ht="21">
      <c r="A189" s="25"/>
      <c r="B189" s="216"/>
      <c r="C189" s="201"/>
      <c r="D189" s="121"/>
      <c r="E189" s="25"/>
      <c r="G189" s="25"/>
      <c r="H189"/>
    </row>
    <row r="190" spans="1:8" s="26" customFormat="1" ht="21">
      <c r="A190" s="25"/>
      <c r="B190" s="216"/>
      <c r="C190" s="201"/>
      <c r="D190" s="121"/>
      <c r="E190" s="25"/>
      <c r="G190" s="25"/>
      <c r="H190"/>
    </row>
    <row r="191" spans="1:8" s="26" customFormat="1" ht="21">
      <c r="A191" s="25"/>
      <c r="B191" s="216"/>
      <c r="C191" s="201"/>
      <c r="D191" s="121"/>
      <c r="E191" s="25"/>
      <c r="G191" s="25"/>
      <c r="H191"/>
    </row>
    <row r="192" spans="1:8" s="26" customFormat="1" ht="21">
      <c r="A192" s="25"/>
      <c r="B192" s="216"/>
      <c r="C192" s="201"/>
      <c r="D192" s="121"/>
      <c r="E192" s="25"/>
      <c r="G192" s="25"/>
      <c r="H192"/>
    </row>
    <row r="193" spans="1:8" s="26" customFormat="1" ht="21">
      <c r="A193" s="25"/>
      <c r="B193" s="216"/>
      <c r="C193" s="201"/>
      <c r="D193" s="121"/>
      <c r="E193" s="25"/>
      <c r="G193" s="25"/>
      <c r="H193"/>
    </row>
    <row r="194" spans="1:8" s="26" customFormat="1" ht="21">
      <c r="A194" s="25"/>
      <c r="B194" s="216"/>
      <c r="C194" s="201"/>
      <c r="D194" s="121"/>
      <c r="E194" s="25"/>
      <c r="G194" s="25"/>
      <c r="H194"/>
    </row>
    <row r="195" spans="1:8" s="26" customFormat="1" ht="21">
      <c r="A195" s="25"/>
      <c r="B195" s="216"/>
      <c r="C195" s="201"/>
      <c r="D195" s="121"/>
      <c r="E195" s="25"/>
      <c r="G195" s="25"/>
      <c r="H195"/>
    </row>
    <row r="196" spans="1:8" s="26" customFormat="1" ht="21">
      <c r="A196" s="25"/>
      <c r="B196" s="216"/>
      <c r="C196" s="201"/>
      <c r="D196" s="121"/>
      <c r="E196" s="25"/>
      <c r="G196" s="25"/>
      <c r="H196"/>
    </row>
    <row r="197" spans="1:8" s="26" customFormat="1" ht="21">
      <c r="A197" s="25"/>
      <c r="B197" s="216"/>
      <c r="C197" s="201"/>
      <c r="D197" s="121"/>
      <c r="E197" s="25"/>
      <c r="G197" s="25"/>
      <c r="H197"/>
    </row>
    <row r="198" spans="1:8" s="26" customFormat="1" ht="21">
      <c r="A198" s="25"/>
      <c r="B198" s="216"/>
      <c r="C198" s="201"/>
      <c r="D198" s="121"/>
      <c r="E198" s="25"/>
      <c r="G198" s="25"/>
      <c r="H198"/>
    </row>
    <row r="199" spans="1:8" s="26" customFormat="1" ht="21">
      <c r="A199" s="25"/>
      <c r="B199" s="216"/>
      <c r="C199" s="201"/>
      <c r="D199" s="121"/>
      <c r="E199" s="25"/>
      <c r="G199" s="25"/>
      <c r="H199"/>
    </row>
    <row r="200" spans="1:8" s="26" customFormat="1" ht="21">
      <c r="A200" s="25"/>
      <c r="B200" s="216"/>
      <c r="C200" s="201"/>
      <c r="D200" s="121"/>
      <c r="E200" s="25"/>
      <c r="G200" s="25"/>
      <c r="H200"/>
    </row>
    <row r="201" spans="1:8" s="26" customFormat="1" ht="21">
      <c r="A201" s="25"/>
      <c r="B201" s="216"/>
      <c r="C201" s="201"/>
      <c r="D201" s="121"/>
      <c r="E201" s="25"/>
      <c r="G201" s="25"/>
      <c r="H201"/>
    </row>
    <row r="202" spans="1:8" s="26" customFormat="1" ht="21">
      <c r="A202" s="25"/>
      <c r="B202" s="216"/>
      <c r="C202" s="201"/>
      <c r="D202" s="121"/>
      <c r="E202" s="25"/>
      <c r="G202" s="25"/>
      <c r="H202"/>
    </row>
    <row r="203" spans="1:8" s="26" customFormat="1" ht="21">
      <c r="A203" s="25"/>
      <c r="B203" s="216"/>
      <c r="C203" s="201"/>
      <c r="D203" s="121"/>
      <c r="E203" s="25"/>
      <c r="G203" s="25"/>
      <c r="H203"/>
    </row>
    <row r="204" spans="1:8" s="26" customFormat="1" ht="21">
      <c r="A204" s="25"/>
      <c r="B204" s="216"/>
      <c r="C204" s="201"/>
      <c r="D204" s="121"/>
      <c r="E204" s="25"/>
      <c r="G204" s="25"/>
      <c r="H204"/>
    </row>
    <row r="205" spans="1:8" s="26" customFormat="1" ht="21">
      <c r="A205" s="25"/>
      <c r="B205" s="216"/>
      <c r="C205" s="201"/>
      <c r="D205" s="121"/>
      <c r="E205" s="25"/>
      <c r="G205" s="25"/>
      <c r="H205"/>
    </row>
    <row r="206" spans="1:8" s="26" customFormat="1" ht="21">
      <c r="A206" s="25"/>
      <c r="B206" s="216"/>
      <c r="C206" s="201"/>
      <c r="D206" s="121"/>
      <c r="E206" s="25"/>
      <c r="G206" s="25"/>
      <c r="H206"/>
    </row>
    <row r="207" spans="1:8" s="26" customFormat="1" ht="21">
      <c r="A207" s="25"/>
      <c r="B207" s="216"/>
      <c r="C207" s="201"/>
      <c r="D207" s="121"/>
      <c r="E207" s="25"/>
      <c r="G207" s="25"/>
      <c r="H207"/>
    </row>
    <row r="208" spans="1:8" s="26" customFormat="1" ht="21">
      <c r="A208" s="25"/>
      <c r="B208" s="216"/>
      <c r="C208" s="201"/>
      <c r="D208" s="121"/>
      <c r="E208" s="25"/>
      <c r="G208" s="25"/>
      <c r="H208"/>
    </row>
    <row r="209" spans="1:8" s="26" customFormat="1" ht="21">
      <c r="A209" s="25"/>
      <c r="B209" s="216"/>
      <c r="C209" s="201"/>
      <c r="D209" s="121"/>
      <c r="E209" s="25"/>
      <c r="G209" s="25"/>
      <c r="H209"/>
    </row>
    <row r="210" spans="1:8" s="26" customFormat="1" ht="21">
      <c r="A210" s="25"/>
      <c r="B210" s="216"/>
      <c r="C210" s="201"/>
      <c r="D210" s="121"/>
      <c r="E210" s="25"/>
      <c r="G210" s="25"/>
      <c r="H210"/>
    </row>
    <row r="211" spans="1:8" s="26" customFormat="1" ht="21">
      <c r="A211" s="25"/>
      <c r="B211" s="216"/>
      <c r="C211" s="201"/>
      <c r="D211" s="121"/>
      <c r="E211" s="25"/>
      <c r="G211" s="25"/>
      <c r="H211"/>
    </row>
    <row r="212" spans="1:8" s="26" customFormat="1" ht="21">
      <c r="A212" s="25"/>
      <c r="B212" s="216"/>
      <c r="C212" s="201"/>
      <c r="D212" s="121"/>
      <c r="E212" s="25"/>
      <c r="G212" s="25"/>
      <c r="H212"/>
    </row>
    <row r="213" spans="1:8" s="26" customFormat="1" ht="21">
      <c r="A213" s="25"/>
      <c r="B213" s="216"/>
      <c r="C213" s="201"/>
      <c r="D213" s="121"/>
      <c r="E213" s="25"/>
      <c r="G213" s="25"/>
      <c r="H213"/>
    </row>
    <row r="214" spans="1:8" s="26" customFormat="1" ht="21">
      <c r="A214" s="25"/>
      <c r="B214" s="216"/>
      <c r="C214" s="201"/>
      <c r="D214" s="121"/>
      <c r="E214" s="25"/>
      <c r="G214" s="25"/>
      <c r="H214"/>
    </row>
    <row r="215" spans="1:8" s="26" customFormat="1" ht="21">
      <c r="A215" s="25"/>
      <c r="B215" s="216"/>
      <c r="C215" s="201"/>
      <c r="D215" s="121"/>
      <c r="E215" s="25"/>
      <c r="G215" s="25"/>
      <c r="H215"/>
    </row>
    <row r="216" spans="1:8" s="26" customFormat="1" ht="21.75">
      <c r="A216" s="122"/>
      <c r="B216" s="217"/>
      <c r="C216" s="202"/>
      <c r="D216" s="123"/>
      <c r="E216" s="122"/>
      <c r="F216" s="6"/>
      <c r="G216" s="25"/>
      <c r="H216"/>
    </row>
    <row r="217" spans="1:8" s="26" customFormat="1" ht="21.75">
      <c r="A217" s="122"/>
      <c r="B217" s="217"/>
      <c r="C217" s="202"/>
      <c r="D217" s="123"/>
      <c r="E217" s="122"/>
      <c r="F217" s="6"/>
      <c r="G217" s="25"/>
      <c r="H217"/>
    </row>
    <row r="218" spans="1:8" s="26" customFormat="1" ht="21.75">
      <c r="A218" s="122"/>
      <c r="B218" s="217"/>
      <c r="C218" s="202"/>
      <c r="D218" s="123"/>
      <c r="E218" s="122"/>
      <c r="F218" s="6"/>
      <c r="G218" s="25"/>
      <c r="H218"/>
    </row>
    <row r="219" spans="1:8" s="26" customFormat="1" ht="21.75">
      <c r="A219" s="122"/>
      <c r="B219" s="217"/>
      <c r="C219" s="202"/>
      <c r="D219" s="123"/>
      <c r="E219" s="122"/>
      <c r="F219" s="6"/>
      <c r="G219" s="25"/>
      <c r="H219"/>
    </row>
    <row r="220" spans="1:8" s="26" customFormat="1" ht="21.75">
      <c r="A220" s="122"/>
      <c r="B220" s="217"/>
      <c r="C220" s="202"/>
      <c r="D220" s="123"/>
      <c r="E220" s="122"/>
      <c r="F220" s="6"/>
      <c r="G220" s="25"/>
      <c r="H220"/>
    </row>
    <row r="221" spans="1:8" s="26" customFormat="1" ht="21.75">
      <c r="A221" s="122"/>
      <c r="B221" s="217"/>
      <c r="C221" s="202"/>
      <c r="D221" s="123"/>
      <c r="E221" s="122"/>
      <c r="F221" s="6"/>
      <c r="G221" s="25"/>
      <c r="H221"/>
    </row>
    <row r="222" spans="1:8" s="26" customFormat="1" ht="21.75">
      <c r="A222" s="122"/>
      <c r="B222" s="217"/>
      <c r="C222" s="202"/>
      <c r="D222" s="123"/>
      <c r="E222" s="122"/>
      <c r="F222" s="6"/>
      <c r="G222" s="25"/>
      <c r="H222"/>
    </row>
    <row r="223" spans="1:8" s="26" customFormat="1" ht="21.75">
      <c r="A223" s="122"/>
      <c r="B223" s="217"/>
      <c r="C223" s="202"/>
      <c r="D223" s="123"/>
      <c r="E223" s="122"/>
      <c r="F223" s="6"/>
      <c r="G223" s="25"/>
      <c r="H223"/>
    </row>
    <row r="224" spans="1:8" s="26" customFormat="1" ht="21.75">
      <c r="A224" s="122"/>
      <c r="B224" s="217"/>
      <c r="C224" s="202"/>
      <c r="D224" s="123"/>
      <c r="E224" s="122"/>
      <c r="F224" s="6"/>
      <c r="G224" s="25"/>
      <c r="H224"/>
    </row>
    <row r="225" spans="1:8" s="26" customFormat="1" ht="21.75">
      <c r="A225" s="122"/>
      <c r="B225" s="217"/>
      <c r="C225" s="202"/>
      <c r="D225" s="123"/>
      <c r="E225" s="122"/>
      <c r="F225" s="6"/>
      <c r="G225" s="25"/>
      <c r="H225"/>
    </row>
    <row r="226" spans="1:8" s="26" customFormat="1" ht="21.75">
      <c r="A226" s="122"/>
      <c r="B226" s="217"/>
      <c r="C226" s="202"/>
      <c r="D226" s="123"/>
      <c r="E226" s="122"/>
      <c r="F226" s="6"/>
      <c r="G226" s="25"/>
      <c r="H226"/>
    </row>
    <row r="227" spans="1:8" s="26" customFormat="1" ht="21.75">
      <c r="A227" s="122"/>
      <c r="B227" s="217"/>
      <c r="C227" s="202"/>
      <c r="D227" s="123"/>
      <c r="E227" s="122"/>
      <c r="F227" s="6"/>
      <c r="G227" s="25"/>
      <c r="H227"/>
    </row>
    <row r="228" spans="1:8" s="26" customFormat="1" ht="21.75">
      <c r="A228" s="122"/>
      <c r="B228" s="217"/>
      <c r="C228" s="202"/>
      <c r="D228" s="123"/>
      <c r="E228" s="122"/>
      <c r="F228" s="6"/>
      <c r="G228" s="25"/>
      <c r="H228"/>
    </row>
    <row r="229" spans="1:8" s="26" customFormat="1" ht="21.75">
      <c r="A229" s="122"/>
      <c r="B229" s="217"/>
      <c r="C229" s="202"/>
      <c r="D229" s="123"/>
      <c r="E229" s="122"/>
      <c r="F229" s="6"/>
      <c r="G229" s="25"/>
      <c r="H229"/>
    </row>
    <row r="230" spans="1:8" s="26" customFormat="1" ht="21.75">
      <c r="A230" s="122"/>
      <c r="B230" s="217"/>
      <c r="C230" s="202"/>
      <c r="D230" s="123"/>
      <c r="E230" s="122"/>
      <c r="F230" s="6"/>
      <c r="G230" s="25"/>
      <c r="H230"/>
    </row>
    <row r="231" spans="1:8" s="26" customFormat="1" ht="21.75">
      <c r="A231" s="122"/>
      <c r="B231" s="217"/>
      <c r="C231" s="202"/>
      <c r="D231" s="123"/>
      <c r="E231" s="122"/>
      <c r="F231" s="6"/>
      <c r="G231" s="25"/>
      <c r="H231"/>
    </row>
    <row r="232" spans="1:8" s="26" customFormat="1" ht="21.75">
      <c r="A232" s="122"/>
      <c r="B232" s="217"/>
      <c r="C232" s="202"/>
      <c r="D232" s="123"/>
      <c r="E232" s="122"/>
      <c r="F232" s="6"/>
      <c r="G232" s="25"/>
      <c r="H232"/>
    </row>
    <row r="233" spans="1:8" s="26" customFormat="1" ht="21.75">
      <c r="A233" s="122"/>
      <c r="B233" s="217"/>
      <c r="C233" s="202"/>
      <c r="D233" s="123"/>
      <c r="E233" s="122"/>
      <c r="F233" s="6"/>
      <c r="G233" s="25"/>
      <c r="H233"/>
    </row>
    <row r="234" spans="1:8" s="26" customFormat="1" ht="21.75">
      <c r="A234" s="122"/>
      <c r="B234" s="217"/>
      <c r="C234" s="202"/>
      <c r="D234" s="123"/>
      <c r="E234" s="122"/>
      <c r="F234" s="6"/>
      <c r="G234" s="25"/>
      <c r="H234"/>
    </row>
    <row r="235" spans="1:8" s="26" customFormat="1" ht="21.75">
      <c r="A235" s="122"/>
      <c r="B235" s="217"/>
      <c r="C235" s="202"/>
      <c r="D235" s="123"/>
      <c r="E235" s="122"/>
      <c r="F235" s="6"/>
      <c r="G235" s="25"/>
      <c r="H235"/>
    </row>
    <row r="236" spans="1:8" s="26" customFormat="1" ht="21.75">
      <c r="A236" s="122"/>
      <c r="B236" s="217"/>
      <c r="C236" s="202"/>
      <c r="D236" s="123"/>
      <c r="E236" s="122"/>
      <c r="F236" s="6"/>
      <c r="G236" s="25"/>
      <c r="H236"/>
    </row>
    <row r="237" spans="1:8" s="26" customFormat="1" ht="21.75">
      <c r="A237" s="122"/>
      <c r="B237" s="217"/>
      <c r="C237" s="202"/>
      <c r="D237" s="123"/>
      <c r="E237" s="122"/>
      <c r="F237" s="6"/>
      <c r="G237" s="25"/>
      <c r="H237"/>
    </row>
    <row r="238" spans="1:8" s="26" customFormat="1" ht="21.75">
      <c r="A238" s="122"/>
      <c r="B238" s="217"/>
      <c r="C238" s="202"/>
      <c r="D238" s="123"/>
      <c r="E238" s="122"/>
      <c r="F238" s="6"/>
      <c r="G238" s="25"/>
      <c r="H238"/>
    </row>
    <row r="239" spans="1:8" s="26" customFormat="1" ht="21.75">
      <c r="A239" s="122"/>
      <c r="B239" s="217"/>
      <c r="C239" s="202"/>
      <c r="D239" s="123"/>
      <c r="E239" s="122"/>
      <c r="F239" s="6"/>
      <c r="G239" s="25"/>
      <c r="H239"/>
    </row>
    <row r="240" spans="1:8" s="26" customFormat="1" ht="21.75">
      <c r="A240" s="122"/>
      <c r="B240" s="217"/>
      <c r="C240" s="202"/>
      <c r="D240" s="123"/>
      <c r="E240" s="122"/>
      <c r="F240" s="6"/>
      <c r="G240" s="25"/>
      <c r="H240"/>
    </row>
    <row r="241" spans="1:8" s="26" customFormat="1" ht="21.75">
      <c r="A241" s="122"/>
      <c r="B241" s="217"/>
      <c r="C241" s="202"/>
      <c r="D241" s="123"/>
      <c r="E241" s="122"/>
      <c r="F241" s="6"/>
      <c r="G241" s="25"/>
      <c r="H241"/>
    </row>
    <row r="242" spans="1:8" s="26" customFormat="1" ht="21.75">
      <c r="A242" s="122"/>
      <c r="B242" s="217"/>
      <c r="C242" s="202"/>
      <c r="D242" s="123"/>
      <c r="E242" s="122"/>
      <c r="F242" s="6"/>
      <c r="G242" s="25"/>
      <c r="H242"/>
    </row>
    <row r="243" spans="1:8" s="26" customFormat="1" ht="21.75">
      <c r="A243" s="122"/>
      <c r="B243" s="217"/>
      <c r="C243" s="202"/>
      <c r="D243" s="123"/>
      <c r="E243" s="122"/>
      <c r="F243" s="6"/>
      <c r="G243" s="25"/>
      <c r="H243"/>
    </row>
    <row r="244" spans="1:8" s="26" customFormat="1" ht="21.75">
      <c r="A244" s="122"/>
      <c r="B244" s="217"/>
      <c r="C244" s="202"/>
      <c r="D244" s="123"/>
      <c r="E244" s="122"/>
      <c r="F244" s="6"/>
      <c r="G244" s="25"/>
      <c r="H244"/>
    </row>
    <row r="245" spans="1:8" s="26" customFormat="1" ht="21.75">
      <c r="A245" s="122"/>
      <c r="B245" s="217"/>
      <c r="C245" s="202"/>
      <c r="D245" s="123"/>
      <c r="E245" s="122"/>
      <c r="F245" s="6"/>
      <c r="G245" s="25"/>
      <c r="H245"/>
    </row>
    <row r="246" spans="1:8" s="26" customFormat="1" ht="21.75">
      <c r="A246" s="122"/>
      <c r="B246" s="217"/>
      <c r="C246" s="202"/>
      <c r="D246" s="123"/>
      <c r="E246" s="122"/>
      <c r="F246" s="6"/>
      <c r="G246" s="25"/>
      <c r="H246"/>
    </row>
    <row r="247" spans="1:8" s="26" customFormat="1" ht="21.75">
      <c r="A247" s="122"/>
      <c r="B247" s="217"/>
      <c r="C247" s="202"/>
      <c r="D247" s="123"/>
      <c r="E247" s="122"/>
      <c r="F247" s="6"/>
      <c r="G247" s="25"/>
      <c r="H247"/>
    </row>
    <row r="248" spans="1:8" s="26" customFormat="1" ht="21.75">
      <c r="A248" s="122"/>
      <c r="B248" s="217"/>
      <c r="C248" s="202"/>
      <c r="D248" s="123"/>
      <c r="E248" s="122"/>
      <c r="F248" s="6"/>
      <c r="G248" s="25"/>
      <c r="H248"/>
    </row>
    <row r="249" spans="1:8" s="26" customFormat="1" ht="21.75">
      <c r="A249" s="122"/>
      <c r="B249" s="217"/>
      <c r="C249" s="202"/>
      <c r="D249" s="123"/>
      <c r="E249" s="122"/>
      <c r="F249" s="6"/>
      <c r="G249" s="25"/>
      <c r="H249"/>
    </row>
    <row r="250" spans="1:8" s="26" customFormat="1" ht="21.75">
      <c r="A250" s="122"/>
      <c r="B250" s="217"/>
      <c r="C250" s="202"/>
      <c r="D250" s="123"/>
      <c r="E250" s="122"/>
      <c r="F250" s="6"/>
      <c r="G250" s="25"/>
      <c r="H250"/>
    </row>
    <row r="251" spans="1:8" s="26" customFormat="1" ht="21.75">
      <c r="A251" s="122"/>
      <c r="B251" s="217"/>
      <c r="C251" s="202"/>
      <c r="D251" s="123"/>
      <c r="E251" s="122"/>
      <c r="F251" s="6"/>
      <c r="G251" s="25"/>
      <c r="H251"/>
    </row>
    <row r="252" spans="1:8" s="26" customFormat="1" ht="21.75">
      <c r="A252" s="122"/>
      <c r="B252" s="217"/>
      <c r="C252" s="202"/>
      <c r="D252" s="123"/>
      <c r="E252" s="122"/>
      <c r="F252" s="6"/>
      <c r="G252" s="25"/>
      <c r="H252"/>
    </row>
    <row r="253" spans="1:8" s="26" customFormat="1" ht="21.75">
      <c r="A253" s="122"/>
      <c r="B253" s="217"/>
      <c r="C253" s="202"/>
      <c r="D253" s="123"/>
      <c r="E253" s="122"/>
      <c r="F253" s="6"/>
      <c r="G253" s="25"/>
      <c r="H253"/>
    </row>
    <row r="254" spans="1:8" s="26" customFormat="1" ht="21.75">
      <c r="A254" s="122"/>
      <c r="B254" s="217"/>
      <c r="C254" s="202"/>
      <c r="D254" s="123"/>
      <c r="E254" s="122"/>
      <c r="F254" s="6"/>
      <c r="G254" s="25"/>
      <c r="H254"/>
    </row>
    <row r="255" spans="1:8" s="26" customFormat="1" ht="21.75">
      <c r="A255" s="122"/>
      <c r="B255" s="217"/>
      <c r="C255" s="202"/>
      <c r="D255" s="123"/>
      <c r="E255" s="122"/>
      <c r="F255" s="6"/>
      <c r="G255" s="25"/>
      <c r="H255"/>
    </row>
    <row r="256" spans="1:8" s="26" customFormat="1" ht="21.75">
      <c r="A256" s="122"/>
      <c r="B256" s="217"/>
      <c r="C256" s="202"/>
      <c r="D256" s="123"/>
      <c r="E256" s="122"/>
      <c r="F256" s="6"/>
      <c r="G256" s="25"/>
      <c r="H256"/>
    </row>
    <row r="257" spans="1:8" s="26" customFormat="1" ht="21.75">
      <c r="A257" s="122"/>
      <c r="B257" s="217"/>
      <c r="C257" s="202"/>
      <c r="D257" s="123"/>
      <c r="E257" s="122"/>
      <c r="F257" s="6"/>
      <c r="G257" s="25"/>
      <c r="H257"/>
    </row>
    <row r="258" spans="1:8" s="26" customFormat="1" ht="21.75">
      <c r="A258" s="122"/>
      <c r="B258" s="217"/>
      <c r="C258" s="202"/>
      <c r="D258" s="123"/>
      <c r="E258" s="122"/>
      <c r="F258" s="6"/>
      <c r="G258" s="25"/>
      <c r="H258"/>
    </row>
    <row r="259" spans="1:8" s="26" customFormat="1" ht="21.75">
      <c r="A259" s="122"/>
      <c r="B259" s="217"/>
      <c r="C259" s="202"/>
      <c r="D259" s="123"/>
      <c r="E259" s="122"/>
      <c r="F259" s="6"/>
      <c r="G259" s="25"/>
      <c r="H259"/>
    </row>
    <row r="260" spans="1:8" s="26" customFormat="1" ht="21.75">
      <c r="A260" s="122"/>
      <c r="B260" s="217"/>
      <c r="C260" s="202"/>
      <c r="D260" s="123"/>
      <c r="E260" s="122"/>
      <c r="F260" s="6"/>
      <c r="G260" s="25"/>
      <c r="H260"/>
    </row>
    <row r="261" spans="1:8" s="26" customFormat="1" ht="21.75">
      <c r="A261" s="122"/>
      <c r="B261" s="217"/>
      <c r="C261" s="202"/>
      <c r="D261" s="123"/>
      <c r="E261" s="122"/>
      <c r="F261" s="6"/>
      <c r="G261" s="25"/>
      <c r="H261"/>
    </row>
    <row r="262" spans="1:8" s="26" customFormat="1" ht="21.75">
      <c r="A262" s="122"/>
      <c r="B262" s="217"/>
      <c r="C262" s="202"/>
      <c r="D262" s="123"/>
      <c r="E262" s="122"/>
      <c r="F262" s="6"/>
      <c r="G262" s="25"/>
      <c r="H262"/>
    </row>
    <row r="263" spans="1:8" s="26" customFormat="1" ht="21.75">
      <c r="A263" s="122"/>
      <c r="B263" s="217"/>
      <c r="C263" s="202"/>
      <c r="D263" s="123"/>
      <c r="E263" s="122"/>
      <c r="F263" s="6"/>
      <c r="G263" s="25"/>
      <c r="H263"/>
    </row>
    <row r="264" spans="1:8" s="26" customFormat="1" ht="21.75">
      <c r="A264" s="122"/>
      <c r="B264" s="217"/>
      <c r="C264" s="202"/>
      <c r="D264" s="123"/>
      <c r="E264" s="122"/>
      <c r="F264" s="6"/>
      <c r="G264" s="25"/>
      <c r="H264"/>
    </row>
    <row r="265" spans="1:8" s="26" customFormat="1" ht="21.75">
      <c r="A265" s="122"/>
      <c r="B265" s="217"/>
      <c r="C265" s="202"/>
      <c r="D265" s="123"/>
      <c r="E265" s="122"/>
      <c r="F265" s="6"/>
      <c r="G265" s="25"/>
      <c r="H265"/>
    </row>
    <row r="266" spans="1:8" s="26" customFormat="1" ht="21.75">
      <c r="A266" s="122"/>
      <c r="B266" s="217"/>
      <c r="C266" s="202"/>
      <c r="D266" s="123"/>
      <c r="E266" s="122"/>
      <c r="F266" s="6"/>
      <c r="G266" s="25"/>
      <c r="H266"/>
    </row>
    <row r="267" spans="1:8" s="26" customFormat="1" ht="21.75">
      <c r="A267" s="122"/>
      <c r="B267" s="217"/>
      <c r="C267" s="202"/>
      <c r="D267" s="123"/>
      <c r="E267" s="122"/>
      <c r="F267" s="6"/>
      <c r="G267" s="25"/>
      <c r="H267"/>
    </row>
    <row r="268" spans="1:8" s="26" customFormat="1" ht="21.75">
      <c r="A268" s="122"/>
      <c r="B268" s="217"/>
      <c r="C268" s="202"/>
      <c r="D268" s="123"/>
      <c r="E268" s="122"/>
      <c r="F268" s="6"/>
      <c r="G268" s="25"/>
      <c r="H268"/>
    </row>
    <row r="269" spans="1:8" s="26" customFormat="1" ht="21.75">
      <c r="A269" s="122"/>
      <c r="B269" s="217"/>
      <c r="C269" s="202"/>
      <c r="D269" s="123"/>
      <c r="E269" s="122"/>
      <c r="F269" s="6"/>
      <c r="G269" s="25"/>
      <c r="H269"/>
    </row>
    <row r="270" spans="1:8" s="26" customFormat="1" ht="21.75">
      <c r="A270" s="122"/>
      <c r="B270" s="217"/>
      <c r="C270" s="202"/>
      <c r="D270" s="123"/>
      <c r="E270" s="122"/>
      <c r="F270" s="6"/>
      <c r="G270" s="25"/>
      <c r="H270"/>
    </row>
    <row r="271" spans="1:8" s="26" customFormat="1" ht="21.75">
      <c r="A271" s="122"/>
      <c r="B271" s="217"/>
      <c r="C271" s="202"/>
      <c r="D271" s="123"/>
      <c r="E271" s="122"/>
      <c r="F271" s="6"/>
      <c r="G271" s="25"/>
      <c r="H271"/>
    </row>
    <row r="272" spans="1:8" s="26" customFormat="1" ht="21.75">
      <c r="A272" s="122"/>
      <c r="B272" s="217"/>
      <c r="C272" s="202"/>
      <c r="D272" s="123"/>
      <c r="E272" s="122"/>
      <c r="F272" s="6"/>
      <c r="G272" s="25"/>
      <c r="H272"/>
    </row>
    <row r="273" ht="21.75">
      <c r="G273" s="122"/>
    </row>
  </sheetData>
  <sheetProtection/>
  <mergeCells count="6">
    <mergeCell ref="M2:N2"/>
    <mergeCell ref="K2:K3"/>
    <mergeCell ref="L2:L3"/>
    <mergeCell ref="E2:F2"/>
    <mergeCell ref="G2:H2"/>
    <mergeCell ref="I2:J2"/>
  </mergeCells>
  <printOptions/>
  <pageMargins left="0.02" right="0" top="0.25" bottom="0.23" header="0.53" footer="0.18"/>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4"/>
  </sheetPr>
  <dimension ref="A1:N268"/>
  <sheetViews>
    <sheetView zoomScalePageLayoutView="0" workbookViewId="0" topLeftCell="A1">
      <selection activeCell="N1" sqref="N1"/>
    </sheetView>
  </sheetViews>
  <sheetFormatPr defaultColWidth="9.140625" defaultRowHeight="12.75"/>
  <cols>
    <col min="1" max="1" width="10.57421875" style="122" customWidth="1"/>
    <col min="2" max="2" width="3.00390625" style="217" bestFit="1" customWidth="1"/>
    <col min="3" max="3" width="10.8515625" style="217" customWidth="1"/>
    <col min="4" max="4" width="44.7109375" style="202" customWidth="1"/>
    <col min="5" max="5" width="4.8515625" style="122" customWidth="1"/>
    <col min="6" max="6" width="8.28125" style="878" customWidth="1"/>
    <col min="7" max="7" width="4.8515625" style="122" customWidth="1"/>
    <col min="8" max="8" width="8.28125" style="878" customWidth="1"/>
    <col min="9" max="9" width="4.8515625" style="122" customWidth="1"/>
    <col min="10" max="10" width="7.421875" style="839" customWidth="1"/>
    <col min="11" max="11" width="8.421875" style="878" customWidth="1"/>
    <col min="12" max="12" width="6.57421875" style="878" customWidth="1"/>
    <col min="13" max="13" width="5.57421875" style="878" customWidth="1"/>
    <col min="14" max="14" width="8.8515625" style="839" customWidth="1"/>
    <col min="15" max="16384" width="9.140625" style="6" customWidth="1"/>
  </cols>
  <sheetData>
    <row r="1" spans="1:14" ht="24.75" customHeight="1" thickBot="1">
      <c r="A1" s="189" t="s">
        <v>550</v>
      </c>
      <c r="D1" s="144"/>
      <c r="E1" s="116"/>
      <c r="G1" s="116"/>
      <c r="N1" s="1123" t="s">
        <v>483</v>
      </c>
    </row>
    <row r="2" spans="1:14" s="143" customFormat="1" ht="43.5" customHeight="1" thickBot="1">
      <c r="A2" s="1217" t="s">
        <v>551</v>
      </c>
      <c r="B2" s="827"/>
      <c r="C2" s="826" t="s">
        <v>533</v>
      </c>
      <c r="D2" s="828" t="s">
        <v>548</v>
      </c>
      <c r="E2" s="1172" t="s">
        <v>514</v>
      </c>
      <c r="F2" s="1172"/>
      <c r="G2" s="1172" t="s">
        <v>515</v>
      </c>
      <c r="H2" s="1172"/>
      <c r="I2" s="1171" t="s">
        <v>511</v>
      </c>
      <c r="J2" s="1172"/>
      <c r="K2" s="1219" t="s">
        <v>529</v>
      </c>
      <c r="L2" s="1215" t="s">
        <v>513</v>
      </c>
      <c r="M2" s="1172" t="s">
        <v>481</v>
      </c>
      <c r="N2" s="1172"/>
    </row>
    <row r="3" spans="1:14" ht="22.5" thickBot="1">
      <c r="A3" s="1218"/>
      <c r="B3" s="829"/>
      <c r="C3" s="831"/>
      <c r="D3" s="830"/>
      <c r="E3" s="1109" t="s">
        <v>474</v>
      </c>
      <c r="F3" s="1124" t="s">
        <v>475</v>
      </c>
      <c r="G3" s="1109" t="s">
        <v>474</v>
      </c>
      <c r="H3" s="1124" t="s">
        <v>475</v>
      </c>
      <c r="I3" s="1109" t="s">
        <v>474</v>
      </c>
      <c r="J3" s="1124" t="s">
        <v>475</v>
      </c>
      <c r="K3" s="1220"/>
      <c r="L3" s="1216"/>
      <c r="M3" s="1109" t="s">
        <v>474</v>
      </c>
      <c r="N3" s="1124" t="s">
        <v>475</v>
      </c>
    </row>
    <row r="4" spans="1:14" s="316" customFormat="1" ht="40.5" customHeight="1">
      <c r="A4" s="854" t="s">
        <v>137</v>
      </c>
      <c r="B4" s="861">
        <v>1</v>
      </c>
      <c r="C4" s="845" t="s">
        <v>50</v>
      </c>
      <c r="D4" s="846" t="s">
        <v>341</v>
      </c>
      <c r="E4" s="845"/>
      <c r="F4" s="879"/>
      <c r="G4" s="845"/>
      <c r="H4" s="879"/>
      <c r="I4" s="847"/>
      <c r="J4" s="848"/>
      <c r="K4" s="893"/>
      <c r="L4" s="893"/>
      <c r="M4" s="893"/>
      <c r="N4" s="900"/>
    </row>
    <row r="5" spans="1:14" s="309" customFormat="1" ht="36" customHeight="1">
      <c r="A5" s="862"/>
      <c r="B5" s="863"/>
      <c r="C5" s="864"/>
      <c r="D5" s="865" t="s">
        <v>342</v>
      </c>
      <c r="E5" s="866">
        <v>9</v>
      </c>
      <c r="F5" s="880">
        <v>1650.1</v>
      </c>
      <c r="G5" s="866"/>
      <c r="H5" s="880"/>
      <c r="I5" s="867"/>
      <c r="J5" s="868"/>
      <c r="K5" s="894"/>
      <c r="L5" s="894"/>
      <c r="M5" s="894">
        <f>E5+G5</f>
        <v>9</v>
      </c>
      <c r="N5" s="901">
        <f>F5+J5+K5+L5+H5</f>
        <v>1650.1</v>
      </c>
    </row>
    <row r="6" spans="1:14" s="309" customFormat="1" ht="81.75">
      <c r="A6" s="862"/>
      <c r="B6" s="863"/>
      <c r="C6" s="864"/>
      <c r="D6" s="865" t="s">
        <v>343</v>
      </c>
      <c r="E6" s="866">
        <v>28</v>
      </c>
      <c r="F6" s="880">
        <v>4275.6</v>
      </c>
      <c r="G6" s="866"/>
      <c r="H6" s="880"/>
      <c r="I6" s="867"/>
      <c r="J6" s="868"/>
      <c r="K6" s="894"/>
      <c r="L6" s="894"/>
      <c r="M6" s="894">
        <f aca="true" t="shared" si="0" ref="M6:M19">E6+G6</f>
        <v>28</v>
      </c>
      <c r="N6" s="901">
        <f aca="true" t="shared" si="1" ref="N6:N19">F6+J6+K6+L6+H6</f>
        <v>4275.6</v>
      </c>
    </row>
    <row r="7" spans="1:14" s="309" customFormat="1" ht="21.75">
      <c r="A7" s="862"/>
      <c r="B7" s="863">
        <v>2</v>
      </c>
      <c r="C7" s="864"/>
      <c r="D7" s="869" t="s">
        <v>454</v>
      </c>
      <c r="E7" s="866"/>
      <c r="F7" s="880"/>
      <c r="G7" s="866">
        <v>3</v>
      </c>
      <c r="H7" s="880">
        <v>1958.2</v>
      </c>
      <c r="I7" s="867"/>
      <c r="J7" s="868"/>
      <c r="K7" s="894"/>
      <c r="L7" s="894"/>
      <c r="M7" s="894">
        <f t="shared" si="0"/>
        <v>3</v>
      </c>
      <c r="N7" s="901">
        <f t="shared" si="1"/>
        <v>1958.2</v>
      </c>
    </row>
    <row r="8" spans="1:14" s="309" customFormat="1" ht="58.5" customHeight="1">
      <c r="A8" s="862"/>
      <c r="B8" s="863">
        <v>3</v>
      </c>
      <c r="C8" s="864"/>
      <c r="D8" s="869" t="s">
        <v>348</v>
      </c>
      <c r="E8" s="866">
        <v>6</v>
      </c>
      <c r="F8" s="880">
        <v>452.8</v>
      </c>
      <c r="G8" s="866"/>
      <c r="H8" s="880"/>
      <c r="I8" s="867"/>
      <c r="J8" s="868"/>
      <c r="K8" s="894"/>
      <c r="L8" s="894"/>
      <c r="M8" s="894">
        <f t="shared" si="0"/>
        <v>6</v>
      </c>
      <c r="N8" s="901">
        <f t="shared" si="1"/>
        <v>452.8</v>
      </c>
    </row>
    <row r="9" spans="1:14" s="309" customFormat="1" ht="63" customHeight="1">
      <c r="A9" s="862"/>
      <c r="B9" s="863">
        <v>4</v>
      </c>
      <c r="C9" s="864"/>
      <c r="D9" s="869" t="s">
        <v>349</v>
      </c>
      <c r="E9" s="866">
        <v>9</v>
      </c>
      <c r="F9" s="880">
        <v>520.2</v>
      </c>
      <c r="G9" s="866"/>
      <c r="H9" s="880"/>
      <c r="I9" s="867"/>
      <c r="J9" s="868"/>
      <c r="K9" s="894"/>
      <c r="L9" s="894"/>
      <c r="M9" s="894">
        <f t="shared" si="0"/>
        <v>9</v>
      </c>
      <c r="N9" s="901">
        <f t="shared" si="1"/>
        <v>520.2</v>
      </c>
    </row>
    <row r="10" spans="1:14" s="309" customFormat="1" ht="81">
      <c r="A10" s="862"/>
      <c r="B10" s="863">
        <v>5</v>
      </c>
      <c r="C10" s="864"/>
      <c r="D10" s="869" t="s">
        <v>350</v>
      </c>
      <c r="E10" s="866">
        <v>14</v>
      </c>
      <c r="F10" s="880">
        <v>572.9</v>
      </c>
      <c r="G10" s="866"/>
      <c r="H10" s="880"/>
      <c r="I10" s="867"/>
      <c r="J10" s="868"/>
      <c r="K10" s="894"/>
      <c r="L10" s="894"/>
      <c r="M10" s="894">
        <f t="shared" si="0"/>
        <v>14</v>
      </c>
      <c r="N10" s="901">
        <f t="shared" si="1"/>
        <v>572.9</v>
      </c>
    </row>
    <row r="11" spans="1:14" s="309" customFormat="1" ht="21.75">
      <c r="A11" s="862"/>
      <c r="B11" s="863">
        <v>6</v>
      </c>
      <c r="C11" s="864" t="s">
        <v>90</v>
      </c>
      <c r="D11" s="869" t="s">
        <v>453</v>
      </c>
      <c r="E11" s="866"/>
      <c r="F11" s="880"/>
      <c r="G11" s="866"/>
      <c r="H11" s="880">
        <v>261.6</v>
      </c>
      <c r="I11" s="867"/>
      <c r="J11" s="868"/>
      <c r="K11" s="894"/>
      <c r="L11" s="894"/>
      <c r="M11" s="894">
        <f t="shared" si="0"/>
        <v>0</v>
      </c>
      <c r="N11" s="901">
        <f t="shared" si="1"/>
        <v>261.6</v>
      </c>
    </row>
    <row r="12" spans="1:14" s="309" customFormat="1" ht="21.75">
      <c r="A12" s="862"/>
      <c r="B12" s="863">
        <v>7</v>
      </c>
      <c r="C12" s="864" t="s">
        <v>52</v>
      </c>
      <c r="D12" s="869" t="s">
        <v>455</v>
      </c>
      <c r="E12" s="866"/>
      <c r="F12" s="880"/>
      <c r="G12" s="866">
        <v>1</v>
      </c>
      <c r="H12" s="880">
        <v>128</v>
      </c>
      <c r="I12" s="867"/>
      <c r="J12" s="868"/>
      <c r="K12" s="894"/>
      <c r="L12" s="894"/>
      <c r="M12" s="894">
        <f t="shared" si="0"/>
        <v>1</v>
      </c>
      <c r="N12" s="901">
        <f t="shared" si="1"/>
        <v>128</v>
      </c>
    </row>
    <row r="13" spans="1:14" s="309" customFormat="1" ht="21.75">
      <c r="A13" s="862"/>
      <c r="B13" s="863">
        <v>8</v>
      </c>
      <c r="C13" s="864" t="s">
        <v>64</v>
      </c>
      <c r="D13" s="869" t="s">
        <v>456</v>
      </c>
      <c r="E13" s="866"/>
      <c r="F13" s="880"/>
      <c r="G13" s="866">
        <v>1</v>
      </c>
      <c r="H13" s="880">
        <v>138.2</v>
      </c>
      <c r="I13" s="867"/>
      <c r="J13" s="868"/>
      <c r="K13" s="894"/>
      <c r="L13" s="894"/>
      <c r="M13" s="894">
        <f t="shared" si="0"/>
        <v>1</v>
      </c>
      <c r="N13" s="901">
        <f t="shared" si="1"/>
        <v>138.2</v>
      </c>
    </row>
    <row r="14" spans="1:14" s="306" customFormat="1" ht="63.75" customHeight="1">
      <c r="A14" s="862"/>
      <c r="B14" s="863">
        <v>9</v>
      </c>
      <c r="C14" s="864"/>
      <c r="D14" s="870" t="s">
        <v>344</v>
      </c>
      <c r="E14" s="864">
        <v>8</v>
      </c>
      <c r="F14" s="881">
        <v>337.8</v>
      </c>
      <c r="G14" s="864"/>
      <c r="H14" s="881"/>
      <c r="I14" s="871">
        <v>10</v>
      </c>
      <c r="J14" s="872">
        <v>213.2</v>
      </c>
      <c r="K14" s="895"/>
      <c r="L14" s="895"/>
      <c r="M14" s="894">
        <f t="shared" si="0"/>
        <v>8</v>
      </c>
      <c r="N14" s="901">
        <f t="shared" si="1"/>
        <v>551</v>
      </c>
    </row>
    <row r="15" spans="1:14" s="306" customFormat="1" ht="61.5" customHeight="1">
      <c r="A15" s="862"/>
      <c r="B15" s="863">
        <v>10</v>
      </c>
      <c r="C15" s="864"/>
      <c r="D15" s="870" t="s">
        <v>351</v>
      </c>
      <c r="E15" s="864">
        <v>11</v>
      </c>
      <c r="F15" s="881">
        <v>570.2</v>
      </c>
      <c r="G15" s="864"/>
      <c r="H15" s="881"/>
      <c r="I15" s="871"/>
      <c r="J15" s="872"/>
      <c r="K15" s="895"/>
      <c r="L15" s="895"/>
      <c r="M15" s="894">
        <f t="shared" si="0"/>
        <v>11</v>
      </c>
      <c r="N15" s="901">
        <f t="shared" si="1"/>
        <v>570.2</v>
      </c>
    </row>
    <row r="16" spans="1:14" s="306" customFormat="1" ht="21.75">
      <c r="A16" s="862"/>
      <c r="B16" s="863">
        <v>11</v>
      </c>
      <c r="C16" s="864" t="s">
        <v>111</v>
      </c>
      <c r="D16" s="870" t="s">
        <v>456</v>
      </c>
      <c r="E16" s="864"/>
      <c r="F16" s="881"/>
      <c r="G16" s="864">
        <v>1</v>
      </c>
      <c r="H16" s="881">
        <v>350</v>
      </c>
      <c r="I16" s="871"/>
      <c r="J16" s="872"/>
      <c r="K16" s="895"/>
      <c r="L16" s="895"/>
      <c r="M16" s="894">
        <f t="shared" si="0"/>
        <v>1</v>
      </c>
      <c r="N16" s="901">
        <f t="shared" si="1"/>
        <v>350</v>
      </c>
    </row>
    <row r="17" spans="1:14" s="306" customFormat="1" ht="81">
      <c r="A17" s="862"/>
      <c r="B17" s="863">
        <v>12</v>
      </c>
      <c r="C17" s="864"/>
      <c r="D17" s="870" t="s">
        <v>352</v>
      </c>
      <c r="E17" s="864">
        <v>14</v>
      </c>
      <c r="F17" s="881">
        <v>658</v>
      </c>
      <c r="G17" s="864"/>
      <c r="H17" s="881"/>
      <c r="I17" s="871"/>
      <c r="J17" s="872"/>
      <c r="K17" s="895"/>
      <c r="L17" s="895"/>
      <c r="M17" s="894">
        <f t="shared" si="0"/>
        <v>14</v>
      </c>
      <c r="N17" s="901">
        <f t="shared" si="1"/>
        <v>658</v>
      </c>
    </row>
    <row r="18" spans="1:14" s="306" customFormat="1" ht="66" customHeight="1">
      <c r="A18" s="862"/>
      <c r="B18" s="863">
        <v>13</v>
      </c>
      <c r="C18" s="864"/>
      <c r="D18" s="870" t="s">
        <v>353</v>
      </c>
      <c r="E18" s="864">
        <v>15</v>
      </c>
      <c r="F18" s="881">
        <v>616</v>
      </c>
      <c r="G18" s="864"/>
      <c r="H18" s="881"/>
      <c r="I18" s="871"/>
      <c r="J18" s="872"/>
      <c r="K18" s="895"/>
      <c r="L18" s="895"/>
      <c r="M18" s="894">
        <f t="shared" si="0"/>
        <v>15</v>
      </c>
      <c r="N18" s="901">
        <f t="shared" si="1"/>
        <v>616</v>
      </c>
    </row>
    <row r="19" spans="1:14" s="306" customFormat="1" ht="40.5">
      <c r="A19" s="862"/>
      <c r="B19" s="863">
        <v>14</v>
      </c>
      <c r="C19" s="864"/>
      <c r="D19" s="870" t="s">
        <v>354</v>
      </c>
      <c r="E19" s="864">
        <v>12</v>
      </c>
      <c r="F19" s="881">
        <v>720.6</v>
      </c>
      <c r="G19" s="864"/>
      <c r="H19" s="881"/>
      <c r="I19" s="871"/>
      <c r="J19" s="872"/>
      <c r="K19" s="895"/>
      <c r="L19" s="895"/>
      <c r="M19" s="894">
        <f t="shared" si="0"/>
        <v>12</v>
      </c>
      <c r="N19" s="901">
        <f t="shared" si="1"/>
        <v>720.6</v>
      </c>
    </row>
    <row r="20" spans="1:14" s="306" customFormat="1" ht="60.75">
      <c r="A20" s="862"/>
      <c r="B20" s="863">
        <v>15</v>
      </c>
      <c r="C20" s="864" t="s">
        <v>54</v>
      </c>
      <c r="D20" s="870" t="s">
        <v>457</v>
      </c>
      <c r="E20" s="864"/>
      <c r="F20" s="881"/>
      <c r="G20" s="864"/>
      <c r="H20" s="881">
        <v>4069.5</v>
      </c>
      <c r="I20" s="871"/>
      <c r="J20" s="872"/>
      <c r="K20" s="895"/>
      <c r="L20" s="895"/>
      <c r="M20" s="894">
        <f aca="true" t="shared" si="2" ref="M20:M27">E20+G20</f>
        <v>0</v>
      </c>
      <c r="N20" s="901">
        <f aca="true" t="shared" si="3" ref="N20:N27">F20+J20+K20+L20+H20</f>
        <v>4069.5</v>
      </c>
    </row>
    <row r="21" spans="1:14" s="306" customFormat="1" ht="62.25" customHeight="1">
      <c r="A21" s="862"/>
      <c r="B21" s="863">
        <v>16</v>
      </c>
      <c r="C21" s="864"/>
      <c r="D21" s="870" t="s">
        <v>355</v>
      </c>
      <c r="E21" s="864">
        <v>12</v>
      </c>
      <c r="F21" s="881">
        <v>1754.2</v>
      </c>
      <c r="G21" s="864"/>
      <c r="H21" s="881"/>
      <c r="I21" s="871"/>
      <c r="J21" s="872"/>
      <c r="K21" s="895"/>
      <c r="L21" s="895"/>
      <c r="M21" s="894">
        <f t="shared" si="2"/>
        <v>12</v>
      </c>
      <c r="N21" s="901">
        <f t="shared" si="3"/>
        <v>1754.2</v>
      </c>
    </row>
    <row r="22" spans="1:14" s="306" customFormat="1" ht="21.75">
      <c r="A22" s="862"/>
      <c r="B22" s="863">
        <v>17</v>
      </c>
      <c r="C22" s="864" t="s">
        <v>115</v>
      </c>
      <c r="D22" s="870" t="s">
        <v>453</v>
      </c>
      <c r="E22" s="864"/>
      <c r="F22" s="881"/>
      <c r="G22" s="864"/>
      <c r="H22" s="881">
        <v>284.9</v>
      </c>
      <c r="I22" s="871"/>
      <c r="J22" s="872"/>
      <c r="K22" s="895"/>
      <c r="L22" s="895"/>
      <c r="M22" s="894">
        <f t="shared" si="2"/>
        <v>0</v>
      </c>
      <c r="N22" s="901">
        <f t="shared" si="3"/>
        <v>284.9</v>
      </c>
    </row>
    <row r="23" spans="1:14" s="306" customFormat="1" ht="42.75" customHeight="1">
      <c r="A23" s="862"/>
      <c r="B23" s="863">
        <v>18</v>
      </c>
      <c r="C23" s="864" t="s">
        <v>356</v>
      </c>
      <c r="D23" s="870" t="s">
        <v>357</v>
      </c>
      <c r="E23" s="864">
        <v>11</v>
      </c>
      <c r="F23" s="881">
        <v>1066.3</v>
      </c>
      <c r="G23" s="864"/>
      <c r="H23" s="881"/>
      <c r="I23" s="871"/>
      <c r="J23" s="872"/>
      <c r="K23" s="895"/>
      <c r="L23" s="895"/>
      <c r="M23" s="894">
        <f t="shared" si="2"/>
        <v>11</v>
      </c>
      <c r="N23" s="901">
        <f t="shared" si="3"/>
        <v>1066.3</v>
      </c>
    </row>
    <row r="24" spans="1:14" s="306" customFormat="1" ht="41.25" customHeight="1">
      <c r="A24" s="862"/>
      <c r="B24" s="863">
        <v>19</v>
      </c>
      <c r="C24" s="864"/>
      <c r="D24" s="870" t="s">
        <v>358</v>
      </c>
      <c r="E24" s="864">
        <v>11</v>
      </c>
      <c r="F24" s="881">
        <v>1133.9</v>
      </c>
      <c r="G24" s="864"/>
      <c r="H24" s="881"/>
      <c r="I24" s="871"/>
      <c r="J24" s="872"/>
      <c r="K24" s="895"/>
      <c r="L24" s="895"/>
      <c r="M24" s="894">
        <f t="shared" si="2"/>
        <v>11</v>
      </c>
      <c r="N24" s="901">
        <f t="shared" si="3"/>
        <v>1133.9</v>
      </c>
    </row>
    <row r="25" spans="1:14" s="306" customFormat="1" ht="81">
      <c r="A25" s="862"/>
      <c r="B25" s="863">
        <v>20</v>
      </c>
      <c r="C25" s="864" t="s">
        <v>56</v>
      </c>
      <c r="D25" s="870" t="s">
        <v>456</v>
      </c>
      <c r="E25" s="864"/>
      <c r="F25" s="881"/>
      <c r="G25" s="864">
        <v>1</v>
      </c>
      <c r="H25" s="881">
        <v>447</v>
      </c>
      <c r="I25" s="871"/>
      <c r="J25" s="872"/>
      <c r="K25" s="895"/>
      <c r="L25" s="895"/>
      <c r="M25" s="894">
        <f t="shared" si="2"/>
        <v>1</v>
      </c>
      <c r="N25" s="901">
        <f t="shared" si="3"/>
        <v>447</v>
      </c>
    </row>
    <row r="26" spans="1:14" s="306" customFormat="1" ht="60.75">
      <c r="A26" s="862"/>
      <c r="B26" s="863">
        <v>21</v>
      </c>
      <c r="C26" s="864" t="s">
        <v>57</v>
      </c>
      <c r="D26" s="870" t="s">
        <v>458</v>
      </c>
      <c r="E26" s="864"/>
      <c r="F26" s="881"/>
      <c r="G26" s="864"/>
      <c r="H26" s="881">
        <v>168.3</v>
      </c>
      <c r="I26" s="871"/>
      <c r="J26" s="872"/>
      <c r="K26" s="895"/>
      <c r="L26" s="895"/>
      <c r="M26" s="894">
        <f t="shared" si="2"/>
        <v>0</v>
      </c>
      <c r="N26" s="901">
        <f t="shared" si="3"/>
        <v>168.3</v>
      </c>
    </row>
    <row r="27" spans="1:14" s="306" customFormat="1" ht="40.5">
      <c r="A27" s="862"/>
      <c r="B27" s="863">
        <v>22</v>
      </c>
      <c r="C27" s="864" t="s">
        <v>58</v>
      </c>
      <c r="D27" s="870" t="s">
        <v>459</v>
      </c>
      <c r="E27" s="864"/>
      <c r="F27" s="881"/>
      <c r="G27" s="864">
        <v>1</v>
      </c>
      <c r="H27" s="881">
        <v>433.4</v>
      </c>
      <c r="I27" s="871"/>
      <c r="J27" s="872"/>
      <c r="K27" s="895"/>
      <c r="L27" s="895"/>
      <c r="M27" s="894">
        <f t="shared" si="2"/>
        <v>1</v>
      </c>
      <c r="N27" s="901">
        <f t="shared" si="3"/>
        <v>433.4</v>
      </c>
    </row>
    <row r="28" spans="1:14" s="306" customFormat="1" ht="81">
      <c r="A28" s="862"/>
      <c r="B28" s="863">
        <v>23</v>
      </c>
      <c r="C28" s="864"/>
      <c r="D28" s="870" t="s">
        <v>347</v>
      </c>
      <c r="E28" s="864">
        <v>33</v>
      </c>
      <c r="F28" s="881">
        <v>125.9</v>
      </c>
      <c r="G28" s="864"/>
      <c r="H28" s="881"/>
      <c r="I28" s="871"/>
      <c r="J28" s="872"/>
      <c r="K28" s="895"/>
      <c r="L28" s="895"/>
      <c r="M28" s="894">
        <f aca="true" t="shared" si="4" ref="M28:M34">E28+G28</f>
        <v>33</v>
      </c>
      <c r="N28" s="901">
        <f aca="true" t="shared" si="5" ref="N28:N34">F28+J28+K28+L28+H28</f>
        <v>125.9</v>
      </c>
    </row>
    <row r="29" spans="1:14" s="306" customFormat="1" ht="43.5" customHeight="1">
      <c r="A29" s="862"/>
      <c r="B29" s="863">
        <v>24</v>
      </c>
      <c r="C29" s="864"/>
      <c r="D29" s="870" t="s">
        <v>359</v>
      </c>
      <c r="E29" s="864">
        <v>11</v>
      </c>
      <c r="F29" s="881">
        <v>380.2</v>
      </c>
      <c r="G29" s="864"/>
      <c r="H29" s="881"/>
      <c r="I29" s="871"/>
      <c r="J29" s="872"/>
      <c r="K29" s="895"/>
      <c r="L29" s="895"/>
      <c r="M29" s="894">
        <f t="shared" si="4"/>
        <v>11</v>
      </c>
      <c r="N29" s="901">
        <f t="shared" si="5"/>
        <v>380.2</v>
      </c>
    </row>
    <row r="30" spans="1:14" s="306" customFormat="1" ht="82.5" customHeight="1">
      <c r="A30" s="862"/>
      <c r="B30" s="863">
        <v>25</v>
      </c>
      <c r="C30" s="864"/>
      <c r="D30" s="870" t="s">
        <v>360</v>
      </c>
      <c r="E30" s="864">
        <v>15</v>
      </c>
      <c r="F30" s="881">
        <v>168.6</v>
      </c>
      <c r="G30" s="864"/>
      <c r="H30" s="881"/>
      <c r="I30" s="871"/>
      <c r="J30" s="872"/>
      <c r="K30" s="895"/>
      <c r="L30" s="895"/>
      <c r="M30" s="894">
        <f t="shared" si="4"/>
        <v>15</v>
      </c>
      <c r="N30" s="901">
        <f t="shared" si="5"/>
        <v>168.6</v>
      </c>
    </row>
    <row r="31" spans="1:14" s="309" customFormat="1" ht="81">
      <c r="A31" s="862"/>
      <c r="B31" s="863">
        <v>26</v>
      </c>
      <c r="C31" s="864"/>
      <c r="D31" s="873" t="s">
        <v>361</v>
      </c>
      <c r="E31" s="866">
        <v>3</v>
      </c>
      <c r="F31" s="882">
        <v>833.4</v>
      </c>
      <c r="G31" s="866"/>
      <c r="H31" s="882"/>
      <c r="I31" s="867"/>
      <c r="J31" s="868"/>
      <c r="K31" s="894"/>
      <c r="L31" s="894"/>
      <c r="M31" s="894">
        <f t="shared" si="4"/>
        <v>3</v>
      </c>
      <c r="N31" s="901">
        <f t="shared" si="5"/>
        <v>833.4</v>
      </c>
    </row>
    <row r="32" spans="1:14" s="309" customFormat="1" ht="40.5">
      <c r="A32" s="862"/>
      <c r="B32" s="863">
        <v>27</v>
      </c>
      <c r="C32" s="864" t="s">
        <v>59</v>
      </c>
      <c r="D32" s="873" t="s">
        <v>460</v>
      </c>
      <c r="E32" s="866"/>
      <c r="F32" s="882"/>
      <c r="G32" s="866"/>
      <c r="H32" s="882">
        <v>135.4</v>
      </c>
      <c r="I32" s="867"/>
      <c r="J32" s="868"/>
      <c r="K32" s="894"/>
      <c r="L32" s="894"/>
      <c r="M32" s="894">
        <f t="shared" si="4"/>
        <v>0</v>
      </c>
      <c r="N32" s="901">
        <f t="shared" si="5"/>
        <v>135.4</v>
      </c>
    </row>
    <row r="33" spans="1:14" s="309" customFormat="1" ht="21.75">
      <c r="A33" s="862"/>
      <c r="B33" s="863">
        <v>28</v>
      </c>
      <c r="C33" s="864" t="s">
        <v>461</v>
      </c>
      <c r="D33" s="873" t="s">
        <v>453</v>
      </c>
      <c r="E33" s="866"/>
      <c r="F33" s="882"/>
      <c r="G33" s="866"/>
      <c r="H33" s="882">
        <v>145.5</v>
      </c>
      <c r="I33" s="867"/>
      <c r="J33" s="868"/>
      <c r="K33" s="894"/>
      <c r="L33" s="894"/>
      <c r="M33" s="894">
        <f t="shared" si="4"/>
        <v>0</v>
      </c>
      <c r="N33" s="901">
        <f t="shared" si="5"/>
        <v>145.5</v>
      </c>
    </row>
    <row r="34" spans="1:14" s="309" customFormat="1" ht="60.75">
      <c r="A34" s="862"/>
      <c r="B34" s="863">
        <v>29</v>
      </c>
      <c r="C34" s="864" t="s">
        <v>71</v>
      </c>
      <c r="D34" s="873" t="s">
        <v>462</v>
      </c>
      <c r="E34" s="866"/>
      <c r="F34" s="882"/>
      <c r="G34" s="866">
        <v>2</v>
      </c>
      <c r="H34" s="882">
        <v>519.6</v>
      </c>
      <c r="I34" s="867"/>
      <c r="J34" s="868"/>
      <c r="K34" s="894"/>
      <c r="L34" s="894"/>
      <c r="M34" s="894">
        <f t="shared" si="4"/>
        <v>2</v>
      </c>
      <c r="N34" s="901">
        <f t="shared" si="5"/>
        <v>519.6</v>
      </c>
    </row>
    <row r="35" spans="1:14" s="306" customFormat="1" ht="24" customHeight="1">
      <c r="A35" s="849"/>
      <c r="B35" s="850"/>
      <c r="C35" s="851"/>
      <c r="D35" s="852" t="s">
        <v>481</v>
      </c>
      <c r="E35" s="1066">
        <f aca="true" t="shared" si="6" ref="E35:J35">SUM(E5:E34)</f>
        <v>222</v>
      </c>
      <c r="F35" s="1065">
        <f t="shared" si="6"/>
        <v>15836.7</v>
      </c>
      <c r="G35" s="1066">
        <f t="shared" si="6"/>
        <v>10</v>
      </c>
      <c r="H35" s="1065">
        <f t="shared" si="6"/>
        <v>9039.6</v>
      </c>
      <c r="I35" s="1066">
        <f t="shared" si="6"/>
        <v>10</v>
      </c>
      <c r="J35" s="1065">
        <f t="shared" si="6"/>
        <v>213.2</v>
      </c>
      <c r="K35" s="883">
        <f>SUM(K5:K31)</f>
        <v>0</v>
      </c>
      <c r="L35" s="883">
        <f>SUM(L5:L31)</f>
        <v>0</v>
      </c>
      <c r="M35" s="1066">
        <f>SUM(M5:M34)</f>
        <v>232</v>
      </c>
      <c r="N35" s="1065">
        <f>SUM(N5:N34)</f>
        <v>25089.500000000007</v>
      </c>
    </row>
    <row r="36" spans="1:14" s="309" customFormat="1" ht="81">
      <c r="A36" s="874" t="s">
        <v>463</v>
      </c>
      <c r="B36" s="875">
        <v>30</v>
      </c>
      <c r="C36" s="864" t="s">
        <v>57</v>
      </c>
      <c r="D36" s="873" t="s">
        <v>362</v>
      </c>
      <c r="E36" s="866">
        <v>19</v>
      </c>
      <c r="F36" s="882">
        <v>1124.8</v>
      </c>
      <c r="G36" s="866"/>
      <c r="H36" s="882"/>
      <c r="I36" s="867"/>
      <c r="J36" s="868"/>
      <c r="K36" s="894"/>
      <c r="L36" s="894"/>
      <c r="M36" s="894">
        <f>E36+G36</f>
        <v>19</v>
      </c>
      <c r="N36" s="901">
        <f>F36+J36+K36+L36+H36</f>
        <v>1124.8</v>
      </c>
    </row>
    <row r="37" spans="1:14" s="309" customFormat="1" ht="40.5">
      <c r="A37" s="862"/>
      <c r="B37" s="875">
        <v>31</v>
      </c>
      <c r="C37" s="864"/>
      <c r="D37" s="873" t="s">
        <v>363</v>
      </c>
      <c r="E37" s="866"/>
      <c r="F37" s="882"/>
      <c r="G37" s="866"/>
      <c r="H37" s="882"/>
      <c r="I37" s="867"/>
      <c r="J37" s="868"/>
      <c r="K37" s="894"/>
      <c r="L37" s="894">
        <v>803.3</v>
      </c>
      <c r="M37" s="894">
        <f>E37+G37</f>
        <v>0</v>
      </c>
      <c r="N37" s="901">
        <f>F37+J37+K37+L37+H37</f>
        <v>803.3</v>
      </c>
    </row>
    <row r="38" spans="1:14" s="309" customFormat="1" ht="43.5" customHeight="1">
      <c r="A38" s="862"/>
      <c r="B38" s="875">
        <v>32</v>
      </c>
      <c r="C38" s="864"/>
      <c r="D38" s="873" t="s">
        <v>364</v>
      </c>
      <c r="E38" s="866">
        <v>12</v>
      </c>
      <c r="F38" s="882">
        <v>125.2</v>
      </c>
      <c r="G38" s="866"/>
      <c r="H38" s="882"/>
      <c r="I38" s="867"/>
      <c r="J38" s="868"/>
      <c r="K38" s="894"/>
      <c r="L38" s="894"/>
      <c r="M38" s="894">
        <f>E38+G38</f>
        <v>12</v>
      </c>
      <c r="N38" s="901">
        <f>F38+J38+K38+L38+H38</f>
        <v>125.2</v>
      </c>
    </row>
    <row r="39" spans="1:14" s="306" customFormat="1" ht="81">
      <c r="A39" s="874" t="s">
        <v>201</v>
      </c>
      <c r="B39" s="875">
        <v>33</v>
      </c>
      <c r="C39" s="864" t="s">
        <v>50</v>
      </c>
      <c r="D39" s="873" t="s">
        <v>451</v>
      </c>
      <c r="E39" s="866">
        <v>13</v>
      </c>
      <c r="F39" s="882">
        <v>1330.7</v>
      </c>
      <c r="G39" s="866"/>
      <c r="H39" s="882"/>
      <c r="I39" s="867"/>
      <c r="J39" s="868"/>
      <c r="K39" s="894"/>
      <c r="L39" s="894"/>
      <c r="M39" s="894">
        <f>E39+G39</f>
        <v>13</v>
      </c>
      <c r="N39" s="901">
        <f>F39+J39+K39+L39+H39</f>
        <v>1330.7</v>
      </c>
    </row>
    <row r="40" spans="1:14" s="306" customFormat="1" ht="60.75">
      <c r="A40" s="862"/>
      <c r="B40" s="875">
        <v>34</v>
      </c>
      <c r="C40" s="864" t="s">
        <v>356</v>
      </c>
      <c r="D40" s="873" t="s">
        <v>452</v>
      </c>
      <c r="E40" s="866">
        <v>13</v>
      </c>
      <c r="F40" s="882">
        <v>1057.8</v>
      </c>
      <c r="G40" s="866"/>
      <c r="H40" s="882"/>
      <c r="I40" s="867"/>
      <c r="J40" s="868"/>
      <c r="K40" s="894"/>
      <c r="L40" s="894"/>
      <c r="M40" s="894">
        <f>E40+G40</f>
        <v>13</v>
      </c>
      <c r="N40" s="901">
        <f>F40+J40+K40+L40+H40</f>
        <v>1057.8</v>
      </c>
    </row>
    <row r="41" spans="1:14" s="306" customFormat="1" ht="24" customHeight="1">
      <c r="A41" s="849"/>
      <c r="B41" s="850"/>
      <c r="C41" s="851"/>
      <c r="D41" s="852" t="s">
        <v>481</v>
      </c>
      <c r="E41" s="852">
        <f aca="true" t="shared" si="7" ref="E41:N41">SUM(E36:E40)</f>
        <v>57</v>
      </c>
      <c r="F41" s="964">
        <f t="shared" si="7"/>
        <v>3638.5</v>
      </c>
      <c r="G41" s="852">
        <f t="shared" si="7"/>
        <v>0</v>
      </c>
      <c r="H41" s="964">
        <f t="shared" si="7"/>
        <v>0</v>
      </c>
      <c r="I41" s="852">
        <f t="shared" si="7"/>
        <v>0</v>
      </c>
      <c r="J41" s="964">
        <f t="shared" si="7"/>
        <v>0</v>
      </c>
      <c r="K41" s="852">
        <f t="shared" si="7"/>
        <v>0</v>
      </c>
      <c r="L41" s="964">
        <f t="shared" si="7"/>
        <v>803.3</v>
      </c>
      <c r="M41" s="852">
        <f t="shared" si="7"/>
        <v>57</v>
      </c>
      <c r="N41" s="964">
        <f t="shared" si="7"/>
        <v>4441.8</v>
      </c>
    </row>
    <row r="42" spans="1:14" s="309" customFormat="1" ht="81">
      <c r="A42" s="874" t="s">
        <v>139</v>
      </c>
      <c r="B42" s="875">
        <v>35</v>
      </c>
      <c r="C42" s="864" t="s">
        <v>50</v>
      </c>
      <c r="D42" s="873" t="s">
        <v>416</v>
      </c>
      <c r="E42" s="866">
        <v>7</v>
      </c>
      <c r="F42" s="882">
        <f>106.5+106.5+107.2+107.2+109.4+107.8+107</f>
        <v>751.5999999999999</v>
      </c>
      <c r="G42" s="866"/>
      <c r="H42" s="882"/>
      <c r="I42" s="867"/>
      <c r="J42" s="868"/>
      <c r="K42" s="894"/>
      <c r="L42" s="894"/>
      <c r="M42" s="894">
        <f>E42+G42</f>
        <v>7</v>
      </c>
      <c r="N42" s="901">
        <f>F42+J42+K42+L42+H42</f>
        <v>751.5999999999999</v>
      </c>
    </row>
    <row r="43" spans="1:14" s="309" customFormat="1" ht="81">
      <c r="A43" s="874"/>
      <c r="B43" s="875">
        <v>36</v>
      </c>
      <c r="C43" s="864" t="s">
        <v>54</v>
      </c>
      <c r="D43" s="873" t="s">
        <v>417</v>
      </c>
      <c r="E43" s="866">
        <v>21</v>
      </c>
      <c r="F43" s="882">
        <f>368.1+338.7+304.8+235.4+835.8+219.4+170</f>
        <v>2472.2000000000003</v>
      </c>
      <c r="G43" s="866"/>
      <c r="H43" s="882"/>
      <c r="I43" s="867"/>
      <c r="J43" s="868"/>
      <c r="K43" s="894"/>
      <c r="L43" s="894"/>
      <c r="M43" s="894">
        <f>E43+G43</f>
        <v>21</v>
      </c>
      <c r="N43" s="901">
        <f>F43+J43+K43+L43+H43</f>
        <v>2472.2000000000003</v>
      </c>
    </row>
    <row r="44" spans="1:14" s="309" customFormat="1" ht="60.75">
      <c r="A44" s="862"/>
      <c r="B44" s="875">
        <v>37</v>
      </c>
      <c r="C44" s="864" t="s">
        <v>54</v>
      </c>
      <c r="D44" s="873" t="s">
        <v>418</v>
      </c>
      <c r="E44" s="866">
        <v>12</v>
      </c>
      <c r="F44" s="882">
        <f>258.3+311.7+292.8+223.1</f>
        <v>1085.8999999999999</v>
      </c>
      <c r="G44" s="866"/>
      <c r="H44" s="882"/>
      <c r="I44" s="867"/>
      <c r="J44" s="868"/>
      <c r="K44" s="894"/>
      <c r="L44" s="894"/>
      <c r="M44" s="894">
        <f>E44+G44</f>
        <v>12</v>
      </c>
      <c r="N44" s="901">
        <f>F44+J44+K44+L44+H44</f>
        <v>1085.8999999999999</v>
      </c>
    </row>
    <row r="45" spans="1:14" s="306" customFormat="1" ht="24" customHeight="1">
      <c r="A45" s="849"/>
      <c r="B45" s="850"/>
      <c r="C45" s="851"/>
      <c r="D45" s="852" t="s">
        <v>481</v>
      </c>
      <c r="E45" s="852">
        <f aca="true" t="shared" si="8" ref="E45:N45">SUM(E42:E44)</f>
        <v>40</v>
      </c>
      <c r="F45" s="1032">
        <f t="shared" si="8"/>
        <v>4309.7</v>
      </c>
      <c r="G45" s="852">
        <f>SUM(G42:G44)</f>
        <v>0</v>
      </c>
      <c r="H45" s="1032">
        <f>SUM(H42:H44)</f>
        <v>0</v>
      </c>
      <c r="I45" s="852">
        <f t="shared" si="8"/>
        <v>0</v>
      </c>
      <c r="J45" s="855">
        <f t="shared" si="8"/>
        <v>0</v>
      </c>
      <c r="K45" s="883">
        <f t="shared" si="8"/>
        <v>0</v>
      </c>
      <c r="L45" s="884">
        <f t="shared" si="8"/>
        <v>0</v>
      </c>
      <c r="M45" s="984">
        <f t="shared" si="8"/>
        <v>40</v>
      </c>
      <c r="N45" s="855">
        <f t="shared" si="8"/>
        <v>4309.7</v>
      </c>
    </row>
    <row r="46" spans="1:14" s="309" customFormat="1" ht="101.25">
      <c r="A46" s="874" t="s">
        <v>138</v>
      </c>
      <c r="B46" s="875">
        <v>38</v>
      </c>
      <c r="C46" s="864" t="s">
        <v>58</v>
      </c>
      <c r="D46" s="873" t="s">
        <v>378</v>
      </c>
      <c r="E46" s="866">
        <v>13</v>
      </c>
      <c r="F46" s="882">
        <v>203.9</v>
      </c>
      <c r="G46" s="866"/>
      <c r="H46" s="882"/>
      <c r="I46" s="867"/>
      <c r="J46" s="868"/>
      <c r="K46" s="894"/>
      <c r="L46" s="894"/>
      <c r="M46" s="894">
        <f>E46+G46</f>
        <v>13</v>
      </c>
      <c r="N46" s="901">
        <f>F46+J46+K46+L46+H46</f>
        <v>203.9</v>
      </c>
    </row>
    <row r="47" spans="1:14" s="309" customFormat="1" ht="101.25">
      <c r="A47" s="862"/>
      <c r="B47" s="875">
        <v>39</v>
      </c>
      <c r="C47" s="864" t="s">
        <v>60</v>
      </c>
      <c r="D47" s="873" t="s">
        <v>379</v>
      </c>
      <c r="E47" s="866">
        <v>24</v>
      </c>
      <c r="F47" s="882">
        <v>1492.2</v>
      </c>
      <c r="G47" s="866"/>
      <c r="H47" s="882"/>
      <c r="I47" s="867"/>
      <c r="J47" s="868"/>
      <c r="K47" s="894"/>
      <c r="L47" s="894"/>
      <c r="M47" s="894">
        <f>E47+G47</f>
        <v>24</v>
      </c>
      <c r="N47" s="901">
        <f>F47+J47+K47+L47+H47</f>
        <v>1492.2</v>
      </c>
    </row>
    <row r="48" spans="1:14" s="306" customFormat="1" ht="24" customHeight="1" thickBot="1">
      <c r="A48" s="849"/>
      <c r="B48" s="850"/>
      <c r="C48" s="851"/>
      <c r="D48" s="852" t="s">
        <v>481</v>
      </c>
      <c r="E48" s="852">
        <f aca="true" t="shared" si="9" ref="E48:N48">SUM(E46:E47)</f>
        <v>37</v>
      </c>
      <c r="F48" s="884">
        <f t="shared" si="9"/>
        <v>1696.1000000000001</v>
      </c>
      <c r="G48" s="852">
        <f>SUM(G46:G47)</f>
        <v>0</v>
      </c>
      <c r="H48" s="884">
        <f>SUM(H46:H47)</f>
        <v>0</v>
      </c>
      <c r="I48" s="852">
        <f t="shared" si="9"/>
        <v>0</v>
      </c>
      <c r="J48" s="855">
        <f t="shared" si="9"/>
        <v>0</v>
      </c>
      <c r="K48" s="883">
        <f t="shared" si="9"/>
        <v>0</v>
      </c>
      <c r="L48" s="884">
        <f t="shared" si="9"/>
        <v>0</v>
      </c>
      <c r="M48" s="984">
        <f>SUM(M46:M47)</f>
        <v>37</v>
      </c>
      <c r="N48" s="855">
        <f t="shared" si="9"/>
        <v>1696.1000000000001</v>
      </c>
    </row>
    <row r="49" spans="1:14" s="318" customFormat="1" ht="18.75" customHeight="1" thickBot="1">
      <c r="A49" s="856"/>
      <c r="B49" s="857"/>
      <c r="C49" s="858"/>
      <c r="D49" s="859" t="s">
        <v>507</v>
      </c>
      <c r="E49" s="860">
        <f aca="true" t="shared" si="10" ref="E49:N49">SUM(E4:E48)/2</f>
        <v>356</v>
      </c>
      <c r="F49" s="885">
        <f t="shared" si="10"/>
        <v>25480.999999999996</v>
      </c>
      <c r="G49" s="860">
        <f t="shared" si="10"/>
        <v>10</v>
      </c>
      <c r="H49" s="885">
        <f t="shared" si="10"/>
        <v>9039.6</v>
      </c>
      <c r="I49" s="860">
        <f t="shared" si="10"/>
        <v>10</v>
      </c>
      <c r="J49" s="885">
        <f t="shared" si="10"/>
        <v>213.2</v>
      </c>
      <c r="K49" s="860">
        <f t="shared" si="10"/>
        <v>0</v>
      </c>
      <c r="L49" s="885">
        <f t="shared" si="10"/>
        <v>803.3</v>
      </c>
      <c r="M49" s="860">
        <f t="shared" si="10"/>
        <v>366</v>
      </c>
      <c r="N49" s="885">
        <f t="shared" si="10"/>
        <v>35537.100000000006</v>
      </c>
    </row>
    <row r="50" spans="1:14" s="124" customFormat="1" ht="19.5" customHeight="1">
      <c r="A50" s="105"/>
      <c r="B50" s="208"/>
      <c r="C50" s="105"/>
      <c r="D50" s="198"/>
      <c r="E50" s="146"/>
      <c r="F50" s="886"/>
      <c r="G50" s="146"/>
      <c r="H50" s="886"/>
      <c r="I50" s="838"/>
      <c r="J50" s="584"/>
      <c r="K50" s="896"/>
      <c r="L50" s="896"/>
      <c r="M50" s="896"/>
      <c r="N50" s="1077"/>
    </row>
    <row r="51" spans="1:14" s="124" customFormat="1" ht="19.5" customHeight="1">
      <c r="A51" s="99"/>
      <c r="B51" s="99"/>
      <c r="C51" s="99"/>
      <c r="D51" s="198"/>
      <c r="E51" s="146"/>
      <c r="F51" s="299"/>
      <c r="G51" s="146"/>
      <c r="H51" s="299"/>
      <c r="I51" s="838"/>
      <c r="J51" s="584"/>
      <c r="K51" s="896"/>
      <c r="L51" s="896"/>
      <c r="M51" s="896"/>
      <c r="N51" s="584"/>
    </row>
    <row r="52" spans="1:14" s="8" customFormat="1" ht="18.75" customHeight="1">
      <c r="A52" s="145"/>
      <c r="B52" s="145"/>
      <c r="C52" s="145"/>
      <c r="D52" s="197"/>
      <c r="E52" s="215"/>
      <c r="F52" s="301"/>
      <c r="G52" s="215"/>
      <c r="H52" s="301"/>
      <c r="I52" s="719"/>
      <c r="J52" s="840"/>
      <c r="K52" s="897"/>
      <c r="L52" s="897"/>
      <c r="M52" s="897"/>
      <c r="N52" s="840"/>
    </row>
    <row r="53" spans="1:14" s="8" customFormat="1" ht="18.75" customHeight="1">
      <c r="A53" s="145"/>
      <c r="B53" s="145"/>
      <c r="C53" s="145"/>
      <c r="D53" s="197"/>
      <c r="E53" s="146"/>
      <c r="F53" s="299"/>
      <c r="G53" s="146"/>
      <c r="H53" s="299"/>
      <c r="I53" s="719"/>
      <c r="J53" s="840"/>
      <c r="K53" s="897"/>
      <c r="L53" s="897"/>
      <c r="M53" s="897"/>
      <c r="N53" s="840"/>
    </row>
    <row r="54" spans="1:14" s="8" customFormat="1" ht="18.75" customHeight="1">
      <c r="A54" s="145"/>
      <c r="B54" s="145"/>
      <c r="C54" s="145"/>
      <c r="D54" s="197"/>
      <c r="E54" s="215"/>
      <c r="F54" s="301"/>
      <c r="G54" s="215"/>
      <c r="H54" s="301"/>
      <c r="I54" s="719"/>
      <c r="J54" s="840"/>
      <c r="K54" s="897"/>
      <c r="L54" s="897"/>
      <c r="M54" s="897"/>
      <c r="N54" s="840"/>
    </row>
    <row r="55" spans="1:14" s="8" customFormat="1" ht="18.75" customHeight="1">
      <c r="A55" s="145"/>
      <c r="B55" s="145"/>
      <c r="C55" s="145"/>
      <c r="D55" s="197"/>
      <c r="E55" s="215"/>
      <c r="F55" s="299"/>
      <c r="G55" s="215"/>
      <c r="H55" s="299"/>
      <c r="I55" s="719"/>
      <c r="J55" s="840"/>
      <c r="K55" s="897"/>
      <c r="L55" s="897"/>
      <c r="M55" s="897"/>
      <c r="N55" s="840"/>
    </row>
    <row r="56" spans="1:14" s="8" customFormat="1" ht="18.75" customHeight="1">
      <c r="A56" s="145"/>
      <c r="B56" s="145"/>
      <c r="C56" s="145"/>
      <c r="D56" s="197"/>
      <c r="E56" s="146"/>
      <c r="F56" s="299"/>
      <c r="G56" s="146"/>
      <c r="H56" s="299"/>
      <c r="I56" s="719"/>
      <c r="J56" s="840"/>
      <c r="K56" s="897"/>
      <c r="L56" s="897"/>
      <c r="M56" s="897"/>
      <c r="N56" s="840"/>
    </row>
    <row r="57" spans="1:14" s="8" customFormat="1" ht="18.75" customHeight="1">
      <c r="A57" s="145"/>
      <c r="B57" s="145"/>
      <c r="C57" s="145"/>
      <c r="D57" s="197"/>
      <c r="E57" s="146"/>
      <c r="F57" s="299"/>
      <c r="G57" s="146"/>
      <c r="H57" s="299"/>
      <c r="I57" s="719"/>
      <c r="J57" s="840"/>
      <c r="K57" s="897"/>
      <c r="L57" s="897"/>
      <c r="M57" s="897"/>
      <c r="N57" s="840"/>
    </row>
    <row r="58" spans="1:14" s="124" customFormat="1" ht="19.5" customHeight="1">
      <c r="A58" s="145"/>
      <c r="B58" s="145"/>
      <c r="C58" s="145"/>
      <c r="D58" s="196"/>
      <c r="E58" s="146"/>
      <c r="F58" s="299"/>
      <c r="G58" s="146"/>
      <c r="H58" s="299"/>
      <c r="I58" s="838"/>
      <c r="J58" s="584"/>
      <c r="K58" s="896"/>
      <c r="L58" s="896"/>
      <c r="M58" s="896"/>
      <c r="N58" s="584"/>
    </row>
    <row r="59" spans="1:14" s="124" customFormat="1" ht="19.5" customHeight="1">
      <c r="A59" s="145"/>
      <c r="B59" s="145"/>
      <c r="C59" s="145"/>
      <c r="D59" s="196"/>
      <c r="E59" s="146"/>
      <c r="F59" s="299"/>
      <c r="G59" s="146"/>
      <c r="H59" s="299"/>
      <c r="I59" s="838"/>
      <c r="J59" s="584"/>
      <c r="K59" s="896"/>
      <c r="L59" s="896"/>
      <c r="M59" s="896"/>
      <c r="N59" s="584"/>
    </row>
    <row r="60" spans="1:8" ht="21.75">
      <c r="A60" s="217"/>
      <c r="F60" s="887"/>
      <c r="H60" s="887"/>
    </row>
    <row r="61" spans="1:8" ht="21.75">
      <c r="A61" s="217"/>
      <c r="F61" s="887"/>
      <c r="H61" s="887"/>
    </row>
    <row r="62" spans="1:14" s="235" customFormat="1" ht="21.75" customHeight="1">
      <c r="A62" s="214"/>
      <c r="B62" s="214"/>
      <c r="C62" s="214"/>
      <c r="E62" s="234"/>
      <c r="F62" s="888"/>
      <c r="G62" s="234"/>
      <c r="H62" s="888"/>
      <c r="I62" s="234"/>
      <c r="J62" s="841"/>
      <c r="K62" s="898"/>
      <c r="L62" s="898"/>
      <c r="M62" s="898"/>
      <c r="N62" s="841"/>
    </row>
    <row r="63" spans="1:14" s="3" customFormat="1" ht="18" customHeight="1">
      <c r="A63" s="214"/>
      <c r="B63" s="214"/>
      <c r="C63" s="214"/>
      <c r="D63" s="199"/>
      <c r="E63" s="118"/>
      <c r="F63" s="889"/>
      <c r="G63" s="118"/>
      <c r="H63" s="889"/>
      <c r="I63" s="2"/>
      <c r="J63" s="842"/>
      <c r="K63" s="899"/>
      <c r="L63" s="899"/>
      <c r="M63" s="899"/>
      <c r="N63" s="842"/>
    </row>
    <row r="64" spans="1:14" ht="19.5" customHeight="1">
      <c r="A64" s="98"/>
      <c r="B64" s="98"/>
      <c r="C64" s="98"/>
      <c r="D64" s="200"/>
      <c r="F64" s="890"/>
      <c r="H64" s="890"/>
      <c r="I64" s="837"/>
      <c r="J64" s="843"/>
      <c r="K64" s="891"/>
      <c r="L64" s="891"/>
      <c r="M64" s="891"/>
      <c r="N64" s="843"/>
    </row>
    <row r="65" spans="2:14" ht="17.25">
      <c r="B65" s="98"/>
      <c r="C65" s="98"/>
      <c r="D65" s="200"/>
      <c r="F65" s="890"/>
      <c r="H65" s="890"/>
      <c r="I65" s="837"/>
      <c r="J65" s="843"/>
      <c r="K65" s="891"/>
      <c r="L65" s="891"/>
      <c r="M65" s="891"/>
      <c r="N65" s="843"/>
    </row>
    <row r="66" spans="2:14" ht="17.25">
      <c r="B66" s="98"/>
      <c r="C66" s="98"/>
      <c r="D66" s="200"/>
      <c r="F66" s="890"/>
      <c r="H66" s="890"/>
      <c r="I66" s="837"/>
      <c r="J66" s="843"/>
      <c r="K66" s="891"/>
      <c r="L66" s="891"/>
      <c r="M66" s="891"/>
      <c r="N66" s="843"/>
    </row>
    <row r="67" spans="2:14" ht="17.25">
      <c r="B67" s="98"/>
      <c r="C67" s="98"/>
      <c r="D67" s="200"/>
      <c r="F67" s="890"/>
      <c r="H67" s="890"/>
      <c r="I67" s="837"/>
      <c r="J67" s="843"/>
      <c r="K67" s="891"/>
      <c r="L67" s="891"/>
      <c r="M67" s="891"/>
      <c r="N67" s="843"/>
    </row>
    <row r="68" spans="2:14" ht="17.25">
      <c r="B68" s="98"/>
      <c r="C68" s="98"/>
      <c r="D68" s="200"/>
      <c r="F68" s="890"/>
      <c r="H68" s="890"/>
      <c r="I68" s="837"/>
      <c r="J68" s="843"/>
      <c r="K68" s="891"/>
      <c r="L68" s="891"/>
      <c r="M68" s="891"/>
      <c r="N68" s="843"/>
    </row>
    <row r="69" spans="2:14" ht="17.25">
      <c r="B69" s="98"/>
      <c r="C69" s="98"/>
      <c r="D69" s="200"/>
      <c r="F69" s="890"/>
      <c r="H69" s="890"/>
      <c r="I69" s="837"/>
      <c r="J69" s="843"/>
      <c r="K69" s="891"/>
      <c r="L69" s="891"/>
      <c r="M69" s="891"/>
      <c r="N69" s="843"/>
    </row>
    <row r="70" spans="2:14" ht="17.25">
      <c r="B70" s="98"/>
      <c r="C70" s="98"/>
      <c r="D70" s="200"/>
      <c r="F70" s="890"/>
      <c r="H70" s="890"/>
      <c r="I70" s="837"/>
      <c r="J70" s="843"/>
      <c r="K70" s="891"/>
      <c r="L70" s="891"/>
      <c r="M70" s="891"/>
      <c r="N70" s="843"/>
    </row>
    <row r="71" spans="2:14" ht="17.25">
      <c r="B71" s="98"/>
      <c r="C71" s="98"/>
      <c r="D71" s="200"/>
      <c r="F71" s="890"/>
      <c r="H71" s="890"/>
      <c r="I71" s="837"/>
      <c r="J71" s="843"/>
      <c r="K71" s="891"/>
      <c r="L71" s="891"/>
      <c r="M71" s="891"/>
      <c r="N71" s="843"/>
    </row>
    <row r="72" spans="2:14" ht="17.25">
      <c r="B72" s="98"/>
      <c r="C72" s="98"/>
      <c r="D72" s="200"/>
      <c r="F72" s="890"/>
      <c r="H72" s="890"/>
      <c r="I72" s="837"/>
      <c r="J72" s="843"/>
      <c r="K72" s="891"/>
      <c r="L72" s="891"/>
      <c r="M72" s="891"/>
      <c r="N72" s="843"/>
    </row>
    <row r="73" spans="2:14" ht="17.25">
      <c r="B73" s="98"/>
      <c r="C73" s="98"/>
      <c r="D73" s="200"/>
      <c r="F73" s="890"/>
      <c r="H73" s="890"/>
      <c r="I73" s="837"/>
      <c r="J73" s="843"/>
      <c r="K73" s="891"/>
      <c r="L73" s="891"/>
      <c r="M73" s="891"/>
      <c r="N73" s="843"/>
    </row>
    <row r="74" spans="2:14" ht="17.25">
      <c r="B74" s="98"/>
      <c r="C74" s="98"/>
      <c r="D74" s="200"/>
      <c r="F74" s="890"/>
      <c r="H74" s="890"/>
      <c r="I74" s="837"/>
      <c r="J74" s="843"/>
      <c r="K74" s="891"/>
      <c r="L74" s="891"/>
      <c r="M74" s="891"/>
      <c r="N74" s="843"/>
    </row>
    <row r="75" spans="2:14" ht="17.25">
      <c r="B75" s="98"/>
      <c r="C75" s="98"/>
      <c r="D75" s="200"/>
      <c r="F75" s="890"/>
      <c r="H75" s="890"/>
      <c r="I75" s="837"/>
      <c r="J75" s="843"/>
      <c r="K75" s="891"/>
      <c r="L75" s="891"/>
      <c r="M75" s="891"/>
      <c r="N75" s="843"/>
    </row>
    <row r="76" spans="2:14" ht="17.25">
      <c r="B76" s="98"/>
      <c r="C76" s="98"/>
      <c r="D76" s="200"/>
      <c r="F76" s="890"/>
      <c r="H76" s="890"/>
      <c r="I76" s="837"/>
      <c r="J76" s="843"/>
      <c r="K76" s="891"/>
      <c r="L76" s="891"/>
      <c r="M76" s="891"/>
      <c r="N76" s="843"/>
    </row>
    <row r="77" spans="2:14" ht="17.25">
      <c r="B77" s="98"/>
      <c r="C77" s="98"/>
      <c r="D77" s="200"/>
      <c r="F77" s="890"/>
      <c r="H77" s="890"/>
      <c r="I77" s="837"/>
      <c r="J77" s="843"/>
      <c r="K77" s="891"/>
      <c r="L77" s="891"/>
      <c r="M77" s="891"/>
      <c r="N77" s="843"/>
    </row>
    <row r="78" spans="2:14" ht="17.25">
      <c r="B78" s="98"/>
      <c r="C78" s="98"/>
      <c r="D78" s="200"/>
      <c r="F78" s="890"/>
      <c r="H78" s="890"/>
      <c r="I78" s="837"/>
      <c r="J78" s="843"/>
      <c r="K78" s="891"/>
      <c r="L78" s="891"/>
      <c r="M78" s="891"/>
      <c r="N78" s="843"/>
    </row>
    <row r="79" spans="2:14" ht="17.25">
      <c r="B79" s="98"/>
      <c r="C79" s="98"/>
      <c r="D79" s="200"/>
      <c r="F79" s="890"/>
      <c r="H79" s="890"/>
      <c r="I79" s="837"/>
      <c r="J79" s="843"/>
      <c r="K79" s="891"/>
      <c r="L79" s="891"/>
      <c r="M79" s="891"/>
      <c r="N79" s="843"/>
    </row>
    <row r="80" spans="2:14" ht="17.25">
      <c r="B80" s="98"/>
      <c r="C80" s="98"/>
      <c r="D80" s="200"/>
      <c r="F80" s="891"/>
      <c r="H80" s="891"/>
      <c r="I80" s="837"/>
      <c r="J80" s="843"/>
      <c r="K80" s="891"/>
      <c r="L80" s="891"/>
      <c r="M80" s="891"/>
      <c r="N80" s="843"/>
    </row>
    <row r="81" spans="2:14" ht="17.25">
      <c r="B81" s="98"/>
      <c r="C81" s="98"/>
      <c r="D81" s="200"/>
      <c r="F81" s="891"/>
      <c r="H81" s="891"/>
      <c r="I81" s="837"/>
      <c r="J81" s="843"/>
      <c r="K81" s="891"/>
      <c r="L81" s="891"/>
      <c r="M81" s="891"/>
      <c r="N81" s="843"/>
    </row>
    <row r="82" spans="2:14" ht="17.25">
      <c r="B82" s="98"/>
      <c r="C82" s="98"/>
      <c r="D82" s="200"/>
      <c r="F82" s="891"/>
      <c r="H82" s="891"/>
      <c r="I82" s="837"/>
      <c r="J82" s="843"/>
      <c r="K82" s="891"/>
      <c r="L82" s="891"/>
      <c r="M82" s="891"/>
      <c r="N82" s="843"/>
    </row>
    <row r="83" spans="2:14" ht="17.25">
      <c r="B83" s="98"/>
      <c r="C83" s="98"/>
      <c r="D83" s="200"/>
      <c r="F83" s="891"/>
      <c r="H83" s="891"/>
      <c r="I83" s="837"/>
      <c r="J83" s="843"/>
      <c r="K83" s="891"/>
      <c r="L83" s="891"/>
      <c r="M83" s="891"/>
      <c r="N83" s="843"/>
    </row>
    <row r="84" spans="2:14" ht="17.25">
      <c r="B84" s="98"/>
      <c r="C84" s="98"/>
      <c r="D84" s="200"/>
      <c r="F84" s="891"/>
      <c r="H84" s="891"/>
      <c r="I84" s="837"/>
      <c r="J84" s="843"/>
      <c r="K84" s="891"/>
      <c r="L84" s="891"/>
      <c r="M84" s="891"/>
      <c r="N84" s="843"/>
    </row>
    <row r="85" spans="2:14" ht="17.25">
      <c r="B85" s="98"/>
      <c r="C85" s="98"/>
      <c r="D85" s="200"/>
      <c r="F85" s="891"/>
      <c r="H85" s="891"/>
      <c r="I85" s="837"/>
      <c r="J85" s="843"/>
      <c r="K85" s="891"/>
      <c r="L85" s="891"/>
      <c r="M85" s="891"/>
      <c r="N85" s="843"/>
    </row>
    <row r="86" spans="2:14" ht="17.25">
      <c r="B86" s="98"/>
      <c r="C86" s="98"/>
      <c r="D86" s="200"/>
      <c r="F86" s="891"/>
      <c r="H86" s="891"/>
      <c r="I86" s="837"/>
      <c r="J86" s="843"/>
      <c r="K86" s="891"/>
      <c r="L86" s="891"/>
      <c r="M86" s="891"/>
      <c r="N86" s="843"/>
    </row>
    <row r="87" spans="2:14" ht="17.25">
      <c r="B87" s="98"/>
      <c r="C87" s="98"/>
      <c r="D87" s="200"/>
      <c r="F87" s="891"/>
      <c r="H87" s="891"/>
      <c r="I87" s="837"/>
      <c r="J87" s="843"/>
      <c r="K87" s="891"/>
      <c r="L87" s="891"/>
      <c r="M87" s="891"/>
      <c r="N87" s="843"/>
    </row>
    <row r="88" spans="2:14" ht="17.25">
      <c r="B88" s="98"/>
      <c r="C88" s="98"/>
      <c r="D88" s="200"/>
      <c r="F88" s="891"/>
      <c r="H88" s="891"/>
      <c r="I88" s="837"/>
      <c r="J88" s="843"/>
      <c r="K88" s="891"/>
      <c r="L88" s="891"/>
      <c r="M88" s="891"/>
      <c r="N88" s="843"/>
    </row>
    <row r="89" spans="2:14" ht="17.25">
      <c r="B89" s="98"/>
      <c r="C89" s="98"/>
      <c r="D89" s="200"/>
      <c r="F89" s="891"/>
      <c r="H89" s="891"/>
      <c r="I89" s="837"/>
      <c r="J89" s="843"/>
      <c r="K89" s="891"/>
      <c r="L89" s="891"/>
      <c r="M89" s="891"/>
      <c r="N89" s="843"/>
    </row>
    <row r="90" spans="2:14" ht="17.25">
      <c r="B90" s="98"/>
      <c r="C90" s="98"/>
      <c r="D90" s="200"/>
      <c r="F90" s="891"/>
      <c r="H90" s="891"/>
      <c r="I90" s="837"/>
      <c r="J90" s="843"/>
      <c r="K90" s="891"/>
      <c r="L90" s="891"/>
      <c r="M90" s="891"/>
      <c r="N90" s="843"/>
    </row>
    <row r="91" spans="2:14" ht="17.25">
      <c r="B91" s="98"/>
      <c r="C91" s="98"/>
      <c r="D91" s="200"/>
      <c r="F91" s="891"/>
      <c r="H91" s="891"/>
      <c r="I91" s="837"/>
      <c r="J91" s="843"/>
      <c r="K91" s="891"/>
      <c r="L91" s="891"/>
      <c r="M91" s="891"/>
      <c r="N91" s="843"/>
    </row>
    <row r="92" spans="2:14" ht="17.25">
      <c r="B92" s="98"/>
      <c r="C92" s="98"/>
      <c r="D92" s="200"/>
      <c r="F92" s="891"/>
      <c r="H92" s="891"/>
      <c r="I92" s="837"/>
      <c r="J92" s="843"/>
      <c r="K92" s="891"/>
      <c r="L92" s="891"/>
      <c r="M92" s="891"/>
      <c r="N92" s="843"/>
    </row>
    <row r="93" spans="2:14" ht="17.25">
      <c r="B93" s="98"/>
      <c r="C93" s="98"/>
      <c r="D93" s="200"/>
      <c r="F93" s="891"/>
      <c r="H93" s="891"/>
      <c r="I93" s="837"/>
      <c r="J93" s="843"/>
      <c r="K93" s="891"/>
      <c r="L93" s="891"/>
      <c r="M93" s="891"/>
      <c r="N93" s="843"/>
    </row>
    <row r="94" spans="2:14" ht="17.25">
      <c r="B94" s="98"/>
      <c r="C94" s="98"/>
      <c r="D94" s="200"/>
      <c r="F94" s="891"/>
      <c r="H94" s="891"/>
      <c r="I94" s="837"/>
      <c r="J94" s="843"/>
      <c r="K94" s="891"/>
      <c r="L94" s="891"/>
      <c r="M94" s="891"/>
      <c r="N94" s="843"/>
    </row>
    <row r="95" spans="2:14" ht="17.25">
      <c r="B95" s="98"/>
      <c r="C95" s="98"/>
      <c r="D95" s="200"/>
      <c r="F95" s="891"/>
      <c r="H95" s="891"/>
      <c r="I95" s="837"/>
      <c r="J95" s="843"/>
      <c r="K95" s="891"/>
      <c r="L95" s="891"/>
      <c r="M95" s="891"/>
      <c r="N95" s="843"/>
    </row>
    <row r="96" spans="2:14" ht="17.25">
      <c r="B96" s="98"/>
      <c r="C96" s="98"/>
      <c r="D96" s="200"/>
      <c r="F96" s="891"/>
      <c r="H96" s="891"/>
      <c r="I96" s="837"/>
      <c r="J96" s="843"/>
      <c r="K96" s="891"/>
      <c r="L96" s="891"/>
      <c r="M96" s="891"/>
      <c r="N96" s="843"/>
    </row>
    <row r="97" spans="2:14" ht="17.25">
      <c r="B97" s="98"/>
      <c r="C97" s="98"/>
      <c r="D97" s="200"/>
      <c r="F97" s="891"/>
      <c r="H97" s="891"/>
      <c r="I97" s="837"/>
      <c r="J97" s="843"/>
      <c r="K97" s="891"/>
      <c r="L97" s="891"/>
      <c r="M97" s="891"/>
      <c r="N97" s="843"/>
    </row>
    <row r="98" spans="2:14" ht="17.25">
      <c r="B98" s="98"/>
      <c r="C98" s="98"/>
      <c r="D98" s="200"/>
      <c r="F98" s="891"/>
      <c r="H98" s="891"/>
      <c r="I98" s="837"/>
      <c r="J98" s="843"/>
      <c r="K98" s="891"/>
      <c r="L98" s="891"/>
      <c r="M98" s="891"/>
      <c r="N98" s="843"/>
    </row>
    <row r="99" spans="2:14" ht="17.25">
      <c r="B99" s="98"/>
      <c r="C99" s="98"/>
      <c r="D99" s="200"/>
      <c r="F99" s="891"/>
      <c r="H99" s="891"/>
      <c r="I99" s="837"/>
      <c r="J99" s="843"/>
      <c r="K99" s="891"/>
      <c r="L99" s="891"/>
      <c r="M99" s="891"/>
      <c r="N99" s="843"/>
    </row>
    <row r="100" spans="2:14" ht="17.25">
      <c r="B100" s="98"/>
      <c r="C100" s="98"/>
      <c r="D100" s="200"/>
      <c r="F100" s="891"/>
      <c r="H100" s="891"/>
      <c r="I100" s="837"/>
      <c r="J100" s="843"/>
      <c r="K100" s="891"/>
      <c r="L100" s="891"/>
      <c r="M100" s="891"/>
      <c r="N100" s="843"/>
    </row>
    <row r="101" spans="2:14" ht="17.25">
      <c r="B101" s="98"/>
      <c r="C101" s="98"/>
      <c r="D101" s="200"/>
      <c r="F101" s="891"/>
      <c r="H101" s="891"/>
      <c r="I101" s="837"/>
      <c r="J101" s="843"/>
      <c r="K101" s="891"/>
      <c r="L101" s="891"/>
      <c r="M101" s="891"/>
      <c r="N101" s="843"/>
    </row>
    <row r="102" spans="2:14" ht="17.25">
      <c r="B102" s="98"/>
      <c r="C102" s="98"/>
      <c r="D102" s="200"/>
      <c r="F102" s="891"/>
      <c r="H102" s="891"/>
      <c r="I102" s="837"/>
      <c r="J102" s="843"/>
      <c r="K102" s="891"/>
      <c r="L102" s="891"/>
      <c r="M102" s="891"/>
      <c r="N102" s="843"/>
    </row>
    <row r="103" spans="2:14" ht="17.25">
      <c r="B103" s="98"/>
      <c r="C103" s="98"/>
      <c r="D103" s="200"/>
      <c r="F103" s="891"/>
      <c r="H103" s="891"/>
      <c r="I103" s="837"/>
      <c r="J103" s="843"/>
      <c r="K103" s="891"/>
      <c r="L103" s="891"/>
      <c r="M103" s="891"/>
      <c r="N103" s="843"/>
    </row>
    <row r="104" spans="2:14" ht="17.25">
      <c r="B104" s="98"/>
      <c r="C104" s="98"/>
      <c r="D104" s="200"/>
      <c r="F104" s="891"/>
      <c r="H104" s="891"/>
      <c r="I104" s="837"/>
      <c r="J104" s="843"/>
      <c r="K104" s="891"/>
      <c r="L104" s="891"/>
      <c r="M104" s="891"/>
      <c r="N104" s="843"/>
    </row>
    <row r="105" spans="2:14" ht="17.25">
      <c r="B105" s="98"/>
      <c r="C105" s="98"/>
      <c r="D105" s="200"/>
      <c r="F105" s="891"/>
      <c r="H105" s="891"/>
      <c r="I105" s="837"/>
      <c r="J105" s="843"/>
      <c r="K105" s="891"/>
      <c r="L105" s="891"/>
      <c r="M105" s="891"/>
      <c r="N105" s="843"/>
    </row>
    <row r="106" spans="2:14" ht="17.25">
      <c r="B106" s="98"/>
      <c r="C106" s="98"/>
      <c r="D106" s="200"/>
      <c r="F106" s="891"/>
      <c r="H106" s="891"/>
      <c r="I106" s="837"/>
      <c r="J106" s="843"/>
      <c r="K106" s="891"/>
      <c r="L106" s="891"/>
      <c r="M106" s="891"/>
      <c r="N106" s="843"/>
    </row>
    <row r="107" spans="2:14" ht="18.75" customHeight="1">
      <c r="B107" s="98"/>
      <c r="C107" s="98"/>
      <c r="D107" s="200"/>
      <c r="F107" s="891"/>
      <c r="H107" s="891"/>
      <c r="I107" s="837"/>
      <c r="J107" s="843"/>
      <c r="K107" s="891"/>
      <c r="L107" s="891"/>
      <c r="M107" s="891"/>
      <c r="N107" s="843"/>
    </row>
    <row r="108" spans="2:14" ht="18" customHeight="1">
      <c r="B108" s="98"/>
      <c r="C108" s="98"/>
      <c r="D108" s="200"/>
      <c r="F108" s="891"/>
      <c r="H108" s="891"/>
      <c r="I108" s="837"/>
      <c r="J108" s="843"/>
      <c r="K108" s="891"/>
      <c r="L108" s="891"/>
      <c r="M108" s="891"/>
      <c r="N108" s="843"/>
    </row>
    <row r="109" spans="2:14" ht="18" customHeight="1">
      <c r="B109" s="98"/>
      <c r="C109" s="98"/>
      <c r="D109" s="200"/>
      <c r="F109" s="891"/>
      <c r="H109" s="891"/>
      <c r="I109" s="837"/>
      <c r="J109" s="843"/>
      <c r="K109" s="891"/>
      <c r="L109" s="891"/>
      <c r="M109" s="891"/>
      <c r="N109" s="843"/>
    </row>
    <row r="110" spans="2:14" ht="18.75" customHeight="1">
      <c r="B110" s="98"/>
      <c r="C110" s="98"/>
      <c r="D110" s="200"/>
      <c r="F110" s="891"/>
      <c r="H110" s="891"/>
      <c r="I110" s="837"/>
      <c r="J110" s="843"/>
      <c r="K110" s="891"/>
      <c r="L110" s="891"/>
      <c r="M110" s="891"/>
      <c r="N110" s="843"/>
    </row>
    <row r="111" spans="2:14" ht="18.75" customHeight="1">
      <c r="B111" s="98"/>
      <c r="C111" s="98"/>
      <c r="D111" s="200"/>
      <c r="F111" s="891"/>
      <c r="H111" s="891"/>
      <c r="I111" s="837"/>
      <c r="J111" s="843"/>
      <c r="K111" s="891"/>
      <c r="L111" s="891"/>
      <c r="M111" s="891"/>
      <c r="N111" s="843"/>
    </row>
    <row r="112" spans="2:14" ht="17.25" customHeight="1">
      <c r="B112" s="98"/>
      <c r="C112" s="98"/>
      <c r="D112" s="200"/>
      <c r="F112" s="891"/>
      <c r="H112" s="891"/>
      <c r="I112" s="837"/>
      <c r="J112" s="843"/>
      <c r="K112" s="891"/>
      <c r="L112" s="891"/>
      <c r="M112" s="891"/>
      <c r="N112" s="843"/>
    </row>
    <row r="113" spans="2:14" ht="19.5" customHeight="1">
      <c r="B113" s="98"/>
      <c r="C113" s="98"/>
      <c r="D113" s="200"/>
      <c r="F113" s="891"/>
      <c r="H113" s="891"/>
      <c r="I113" s="837"/>
      <c r="J113" s="843"/>
      <c r="K113" s="891"/>
      <c r="L113" s="891"/>
      <c r="M113" s="891"/>
      <c r="N113" s="843"/>
    </row>
    <row r="114" spans="2:14" ht="19.5" customHeight="1">
      <c r="B114" s="98"/>
      <c r="C114" s="98"/>
      <c r="D114" s="200"/>
      <c r="F114" s="891"/>
      <c r="H114" s="891"/>
      <c r="I114" s="837"/>
      <c r="J114" s="843"/>
      <c r="K114" s="891"/>
      <c r="L114" s="891"/>
      <c r="M114" s="891"/>
      <c r="N114" s="843"/>
    </row>
    <row r="115" spans="2:14" ht="17.25">
      <c r="B115" s="98"/>
      <c r="C115" s="98"/>
      <c r="D115" s="200"/>
      <c r="F115" s="891"/>
      <c r="H115" s="891"/>
      <c r="I115" s="837"/>
      <c r="J115" s="843"/>
      <c r="K115" s="891"/>
      <c r="L115" s="891"/>
      <c r="M115" s="891"/>
      <c r="N115" s="843"/>
    </row>
    <row r="116" spans="2:14" ht="18.75" customHeight="1">
      <c r="B116" s="98"/>
      <c r="C116" s="98"/>
      <c r="D116" s="200"/>
      <c r="F116" s="891"/>
      <c r="H116" s="891"/>
      <c r="I116" s="837"/>
      <c r="J116" s="843"/>
      <c r="K116" s="891"/>
      <c r="L116" s="891"/>
      <c r="M116" s="891"/>
      <c r="N116" s="843"/>
    </row>
    <row r="117" spans="2:14" ht="18.75" customHeight="1">
      <c r="B117" s="98"/>
      <c r="C117" s="98"/>
      <c r="D117" s="200"/>
      <c r="F117" s="891"/>
      <c r="H117" s="891"/>
      <c r="I117" s="837"/>
      <c r="J117" s="843"/>
      <c r="K117" s="891"/>
      <c r="L117" s="891"/>
      <c r="M117" s="891"/>
      <c r="N117" s="843"/>
    </row>
    <row r="118" spans="2:14" ht="18.75" customHeight="1">
      <c r="B118" s="98"/>
      <c r="C118" s="98"/>
      <c r="D118" s="200"/>
      <c r="F118" s="891"/>
      <c r="H118" s="891"/>
      <c r="I118" s="837"/>
      <c r="J118" s="843"/>
      <c r="K118" s="891"/>
      <c r="L118" s="891"/>
      <c r="M118" s="891"/>
      <c r="N118" s="843"/>
    </row>
    <row r="119" spans="2:14" ht="18.75" customHeight="1">
      <c r="B119" s="98"/>
      <c r="C119" s="98"/>
      <c r="D119" s="200"/>
      <c r="F119" s="891"/>
      <c r="H119" s="891"/>
      <c r="I119" s="837"/>
      <c r="J119" s="843"/>
      <c r="K119" s="891"/>
      <c r="L119" s="891"/>
      <c r="M119" s="891"/>
      <c r="N119" s="843"/>
    </row>
    <row r="120" spans="2:14" ht="19.5" customHeight="1">
      <c r="B120" s="98"/>
      <c r="C120" s="98"/>
      <c r="D120" s="200"/>
      <c r="F120" s="891"/>
      <c r="H120" s="891"/>
      <c r="I120" s="837"/>
      <c r="J120" s="843"/>
      <c r="K120" s="891"/>
      <c r="L120" s="891"/>
      <c r="M120" s="891"/>
      <c r="N120" s="843"/>
    </row>
    <row r="121" spans="2:14" ht="17.25">
      <c r="B121" s="98"/>
      <c r="C121" s="98"/>
      <c r="D121" s="200"/>
      <c r="F121" s="891"/>
      <c r="H121" s="891"/>
      <c r="I121" s="837"/>
      <c r="J121" s="843"/>
      <c r="K121" s="891"/>
      <c r="L121" s="891"/>
      <c r="M121" s="891"/>
      <c r="N121" s="843"/>
    </row>
    <row r="122" spans="2:14" ht="17.25">
      <c r="B122" s="98"/>
      <c r="C122" s="98"/>
      <c r="D122" s="200"/>
      <c r="F122" s="891"/>
      <c r="H122" s="891"/>
      <c r="I122" s="837"/>
      <c r="J122" s="843"/>
      <c r="K122" s="891"/>
      <c r="L122" s="891"/>
      <c r="M122" s="891"/>
      <c r="N122" s="843"/>
    </row>
    <row r="123" spans="2:14" ht="17.25">
      <c r="B123" s="98"/>
      <c r="C123" s="98"/>
      <c r="D123" s="200"/>
      <c r="F123" s="891"/>
      <c r="H123" s="891"/>
      <c r="I123" s="837"/>
      <c r="J123" s="843"/>
      <c r="K123" s="891"/>
      <c r="L123" s="891"/>
      <c r="M123" s="891"/>
      <c r="N123" s="843"/>
    </row>
    <row r="124" spans="2:14" ht="17.25">
      <c r="B124" s="98"/>
      <c r="C124" s="98"/>
      <c r="D124" s="200"/>
      <c r="F124" s="891"/>
      <c r="H124" s="891"/>
      <c r="I124" s="837"/>
      <c r="J124" s="843"/>
      <c r="K124" s="891"/>
      <c r="L124" s="891"/>
      <c r="M124" s="891"/>
      <c r="N124" s="843"/>
    </row>
    <row r="125" spans="2:14" ht="17.25">
      <c r="B125" s="98"/>
      <c r="C125" s="98"/>
      <c r="D125" s="200"/>
      <c r="F125" s="891"/>
      <c r="H125" s="891"/>
      <c r="I125" s="837"/>
      <c r="J125" s="843"/>
      <c r="K125" s="891"/>
      <c r="L125" s="891"/>
      <c r="M125" s="891"/>
      <c r="N125" s="843"/>
    </row>
    <row r="126" spans="2:14" ht="17.25">
      <c r="B126" s="98"/>
      <c r="C126" s="98"/>
      <c r="D126" s="200"/>
      <c r="F126" s="891"/>
      <c r="H126" s="891"/>
      <c r="I126" s="837"/>
      <c r="J126" s="843"/>
      <c r="K126" s="891"/>
      <c r="L126" s="891"/>
      <c r="M126" s="891"/>
      <c r="N126" s="843"/>
    </row>
    <row r="127" spans="2:14" ht="17.25">
      <c r="B127" s="98"/>
      <c r="C127" s="98"/>
      <c r="D127" s="200"/>
      <c r="F127" s="891"/>
      <c r="H127" s="891"/>
      <c r="I127" s="837"/>
      <c r="J127" s="843"/>
      <c r="K127" s="891"/>
      <c r="L127" s="891"/>
      <c r="M127" s="891"/>
      <c r="N127" s="843"/>
    </row>
    <row r="128" spans="2:14" ht="17.25">
      <c r="B128" s="98"/>
      <c r="C128" s="98"/>
      <c r="D128" s="200"/>
      <c r="F128" s="891"/>
      <c r="H128" s="891"/>
      <c r="I128" s="837"/>
      <c r="J128" s="843"/>
      <c r="K128" s="891"/>
      <c r="L128" s="891"/>
      <c r="M128" s="891"/>
      <c r="N128" s="843"/>
    </row>
    <row r="129" spans="2:14" ht="17.25">
      <c r="B129" s="98"/>
      <c r="C129" s="98"/>
      <c r="D129" s="200"/>
      <c r="F129" s="891"/>
      <c r="H129" s="891"/>
      <c r="I129" s="837"/>
      <c r="J129" s="843"/>
      <c r="K129" s="891"/>
      <c r="L129" s="891"/>
      <c r="M129" s="891"/>
      <c r="N129" s="843"/>
    </row>
    <row r="130" spans="2:14" ht="17.25">
      <c r="B130" s="98"/>
      <c r="C130" s="98"/>
      <c r="D130" s="200"/>
      <c r="F130" s="891"/>
      <c r="H130" s="891"/>
      <c r="I130" s="837"/>
      <c r="J130" s="843"/>
      <c r="K130" s="891"/>
      <c r="L130" s="891"/>
      <c r="M130" s="891"/>
      <c r="N130" s="843"/>
    </row>
    <row r="131" spans="2:14" ht="17.25">
      <c r="B131" s="98"/>
      <c r="C131" s="98"/>
      <c r="D131" s="200"/>
      <c r="F131" s="891"/>
      <c r="H131" s="891"/>
      <c r="I131" s="837"/>
      <c r="J131" s="843"/>
      <c r="K131" s="891"/>
      <c r="L131" s="891"/>
      <c r="M131" s="891"/>
      <c r="N131" s="843"/>
    </row>
    <row r="132" spans="2:14" ht="17.25">
      <c r="B132" s="98"/>
      <c r="C132" s="98"/>
      <c r="D132" s="200"/>
      <c r="F132" s="891"/>
      <c r="H132" s="891"/>
      <c r="I132" s="837"/>
      <c r="J132" s="843"/>
      <c r="K132" s="891"/>
      <c r="L132" s="891"/>
      <c r="M132" s="891"/>
      <c r="N132" s="843"/>
    </row>
    <row r="133" spans="2:14" ht="17.25">
      <c r="B133" s="98"/>
      <c r="C133" s="98"/>
      <c r="D133" s="200"/>
      <c r="F133" s="891"/>
      <c r="H133" s="891"/>
      <c r="I133" s="837"/>
      <c r="J133" s="843"/>
      <c r="K133" s="891"/>
      <c r="L133" s="891"/>
      <c r="M133" s="891"/>
      <c r="N133" s="843"/>
    </row>
    <row r="134" spans="2:14" ht="17.25">
      <c r="B134" s="98"/>
      <c r="C134" s="98"/>
      <c r="D134" s="200"/>
      <c r="F134" s="891"/>
      <c r="H134" s="891"/>
      <c r="I134" s="837"/>
      <c r="J134" s="843"/>
      <c r="K134" s="891"/>
      <c r="L134" s="891"/>
      <c r="M134" s="891"/>
      <c r="N134" s="843"/>
    </row>
    <row r="135" spans="2:14" ht="17.25">
      <c r="B135" s="98"/>
      <c r="C135" s="98"/>
      <c r="D135" s="200"/>
      <c r="F135" s="891"/>
      <c r="H135" s="891"/>
      <c r="I135" s="837"/>
      <c r="J135" s="843"/>
      <c r="K135" s="891"/>
      <c r="L135" s="891"/>
      <c r="M135" s="891"/>
      <c r="N135" s="843"/>
    </row>
    <row r="136" spans="2:14" ht="17.25">
      <c r="B136" s="98"/>
      <c r="C136" s="98"/>
      <c r="D136" s="200"/>
      <c r="F136" s="891"/>
      <c r="H136" s="891"/>
      <c r="I136" s="837"/>
      <c r="J136" s="843"/>
      <c r="K136" s="891"/>
      <c r="L136" s="891"/>
      <c r="M136" s="891"/>
      <c r="N136" s="843"/>
    </row>
    <row r="137" spans="2:14" ht="17.25">
      <c r="B137" s="98"/>
      <c r="C137" s="98"/>
      <c r="D137" s="200"/>
      <c r="F137" s="891"/>
      <c r="H137" s="891"/>
      <c r="I137" s="837"/>
      <c r="J137" s="843"/>
      <c r="K137" s="891"/>
      <c r="L137" s="891"/>
      <c r="M137" s="891"/>
      <c r="N137" s="843"/>
    </row>
    <row r="138" spans="1:14" s="26" customFormat="1" ht="21">
      <c r="A138" s="25"/>
      <c r="B138" s="216"/>
      <c r="C138" s="216"/>
      <c r="D138" s="201"/>
      <c r="E138" s="25"/>
      <c r="F138" s="892"/>
      <c r="G138" s="25"/>
      <c r="H138" s="892"/>
      <c r="I138" s="25"/>
      <c r="J138" s="844"/>
      <c r="K138" s="892"/>
      <c r="L138" s="892"/>
      <c r="M138" s="892"/>
      <c r="N138" s="844"/>
    </row>
    <row r="139" spans="1:14" s="26" customFormat="1" ht="21">
      <c r="A139" s="25"/>
      <c r="B139" s="216"/>
      <c r="C139" s="216"/>
      <c r="D139" s="201"/>
      <c r="E139" s="25"/>
      <c r="F139" s="892"/>
      <c r="G139" s="25"/>
      <c r="H139" s="892"/>
      <c r="I139" s="25"/>
      <c r="J139" s="844"/>
      <c r="K139" s="892"/>
      <c r="L139" s="892"/>
      <c r="M139" s="892"/>
      <c r="N139" s="844"/>
    </row>
    <row r="140" spans="1:14" s="26" customFormat="1" ht="21">
      <c r="A140" s="25"/>
      <c r="B140" s="216"/>
      <c r="C140" s="216"/>
      <c r="D140" s="201"/>
      <c r="E140" s="25"/>
      <c r="F140" s="892"/>
      <c r="G140" s="25"/>
      <c r="H140" s="892"/>
      <c r="I140" s="25"/>
      <c r="J140" s="844"/>
      <c r="K140" s="892"/>
      <c r="L140" s="892"/>
      <c r="M140" s="892"/>
      <c r="N140" s="844"/>
    </row>
    <row r="141" spans="1:14" s="26" customFormat="1" ht="21">
      <c r="A141" s="25"/>
      <c r="B141" s="216"/>
      <c r="C141" s="216"/>
      <c r="D141" s="201"/>
      <c r="E141" s="25"/>
      <c r="F141" s="892"/>
      <c r="G141" s="25"/>
      <c r="H141" s="892"/>
      <c r="I141" s="25"/>
      <c r="J141" s="844"/>
      <c r="K141" s="892"/>
      <c r="L141" s="892"/>
      <c r="M141" s="892"/>
      <c r="N141" s="844"/>
    </row>
    <row r="142" spans="1:14" s="26" customFormat="1" ht="21">
      <c r="A142" s="25"/>
      <c r="B142" s="216"/>
      <c r="C142" s="216"/>
      <c r="D142" s="201"/>
      <c r="E142" s="25"/>
      <c r="F142" s="892"/>
      <c r="G142" s="25"/>
      <c r="H142" s="892"/>
      <c r="I142" s="25"/>
      <c r="J142" s="844"/>
      <c r="K142" s="892"/>
      <c r="L142" s="892"/>
      <c r="M142" s="892"/>
      <c r="N142" s="844"/>
    </row>
    <row r="143" spans="1:14" s="26" customFormat="1" ht="21">
      <c r="A143" s="25"/>
      <c r="B143" s="216"/>
      <c r="C143" s="216"/>
      <c r="D143" s="201"/>
      <c r="E143" s="25"/>
      <c r="F143" s="892"/>
      <c r="G143" s="25"/>
      <c r="H143" s="892"/>
      <c r="I143" s="25"/>
      <c r="J143" s="844"/>
      <c r="K143" s="892"/>
      <c r="L143" s="892"/>
      <c r="M143" s="892"/>
      <c r="N143" s="844"/>
    </row>
    <row r="144" spans="1:14" s="26" customFormat="1" ht="21">
      <c r="A144" s="25"/>
      <c r="B144" s="216"/>
      <c r="C144" s="216"/>
      <c r="D144" s="201"/>
      <c r="E144" s="25"/>
      <c r="F144" s="892"/>
      <c r="G144" s="25"/>
      <c r="H144" s="892"/>
      <c r="I144" s="25"/>
      <c r="J144" s="844"/>
      <c r="K144" s="892"/>
      <c r="L144" s="892"/>
      <c r="M144" s="892"/>
      <c r="N144" s="844"/>
    </row>
    <row r="145" spans="1:14" s="26" customFormat="1" ht="21">
      <c r="A145" s="25"/>
      <c r="B145" s="216"/>
      <c r="C145" s="216"/>
      <c r="D145" s="201"/>
      <c r="E145" s="25"/>
      <c r="F145" s="892"/>
      <c r="G145" s="25"/>
      <c r="H145" s="892"/>
      <c r="I145" s="25"/>
      <c r="J145" s="844"/>
      <c r="K145" s="892"/>
      <c r="L145" s="892"/>
      <c r="M145" s="892"/>
      <c r="N145" s="844"/>
    </row>
    <row r="146" spans="1:14" s="26" customFormat="1" ht="21">
      <c r="A146" s="25"/>
      <c r="B146" s="216"/>
      <c r="C146" s="216"/>
      <c r="D146" s="201"/>
      <c r="E146" s="25"/>
      <c r="F146" s="892"/>
      <c r="G146" s="25"/>
      <c r="H146" s="892"/>
      <c r="I146" s="25"/>
      <c r="J146" s="844"/>
      <c r="K146" s="892"/>
      <c r="L146" s="892"/>
      <c r="M146" s="892"/>
      <c r="N146" s="844"/>
    </row>
    <row r="147" spans="1:14" s="26" customFormat="1" ht="21">
      <c r="A147" s="25"/>
      <c r="B147" s="216"/>
      <c r="C147" s="216"/>
      <c r="D147" s="201"/>
      <c r="E147" s="25"/>
      <c r="F147" s="892"/>
      <c r="G147" s="25"/>
      <c r="H147" s="892"/>
      <c r="I147" s="25"/>
      <c r="J147" s="844"/>
      <c r="K147" s="892"/>
      <c r="L147" s="892"/>
      <c r="M147" s="892"/>
      <c r="N147" s="844"/>
    </row>
    <row r="148" spans="1:14" s="26" customFormat="1" ht="21">
      <c r="A148" s="25"/>
      <c r="B148" s="216"/>
      <c r="C148" s="216"/>
      <c r="D148" s="201"/>
      <c r="E148" s="25"/>
      <c r="F148" s="892"/>
      <c r="G148" s="25"/>
      <c r="H148" s="892"/>
      <c r="I148" s="25"/>
      <c r="J148" s="844"/>
      <c r="K148" s="892"/>
      <c r="L148" s="892"/>
      <c r="M148" s="892"/>
      <c r="N148" s="844"/>
    </row>
    <row r="149" spans="1:14" s="26" customFormat="1" ht="21">
      <c r="A149" s="25"/>
      <c r="B149" s="216"/>
      <c r="C149" s="216"/>
      <c r="D149" s="201"/>
      <c r="E149" s="25"/>
      <c r="F149" s="892"/>
      <c r="G149" s="25"/>
      <c r="H149" s="892"/>
      <c r="I149" s="25"/>
      <c r="J149" s="844"/>
      <c r="K149" s="892"/>
      <c r="L149" s="892"/>
      <c r="M149" s="892"/>
      <c r="N149" s="844"/>
    </row>
    <row r="150" spans="1:14" s="26" customFormat="1" ht="21">
      <c r="A150" s="25"/>
      <c r="B150" s="216"/>
      <c r="C150" s="216"/>
      <c r="D150" s="201"/>
      <c r="E150" s="25"/>
      <c r="F150" s="892"/>
      <c r="G150" s="25"/>
      <c r="H150" s="892"/>
      <c r="I150" s="25"/>
      <c r="J150" s="844"/>
      <c r="K150" s="892"/>
      <c r="L150" s="892"/>
      <c r="M150" s="892"/>
      <c r="N150" s="844"/>
    </row>
    <row r="151" spans="1:14" s="26" customFormat="1" ht="21">
      <c r="A151" s="25"/>
      <c r="B151" s="216"/>
      <c r="C151" s="216"/>
      <c r="D151" s="201"/>
      <c r="E151" s="25"/>
      <c r="F151" s="892"/>
      <c r="G151" s="25"/>
      <c r="H151" s="892"/>
      <c r="I151" s="25"/>
      <c r="J151" s="844"/>
      <c r="K151" s="892"/>
      <c r="L151" s="892"/>
      <c r="M151" s="892"/>
      <c r="N151" s="844"/>
    </row>
    <row r="152" spans="1:14" s="26" customFormat="1" ht="21">
      <c r="A152" s="25"/>
      <c r="B152" s="216"/>
      <c r="C152" s="216"/>
      <c r="D152" s="201"/>
      <c r="E152" s="25"/>
      <c r="F152" s="892"/>
      <c r="G152" s="25"/>
      <c r="H152" s="892"/>
      <c r="I152" s="25"/>
      <c r="J152" s="844"/>
      <c r="K152" s="892"/>
      <c r="L152" s="892"/>
      <c r="M152" s="892"/>
      <c r="N152" s="844"/>
    </row>
    <row r="153" spans="1:14" s="26" customFormat="1" ht="21">
      <c r="A153" s="25"/>
      <c r="B153" s="216"/>
      <c r="C153" s="216"/>
      <c r="D153" s="201"/>
      <c r="E153" s="25"/>
      <c r="F153" s="892"/>
      <c r="G153" s="25"/>
      <c r="H153" s="892"/>
      <c r="I153" s="25"/>
      <c r="J153" s="844"/>
      <c r="K153" s="892"/>
      <c r="L153" s="892"/>
      <c r="M153" s="892"/>
      <c r="N153" s="844"/>
    </row>
    <row r="154" spans="1:14" s="26" customFormat="1" ht="21">
      <c r="A154" s="25"/>
      <c r="B154" s="216"/>
      <c r="C154" s="216"/>
      <c r="D154" s="201"/>
      <c r="E154" s="25"/>
      <c r="F154" s="892"/>
      <c r="G154" s="25"/>
      <c r="H154" s="892"/>
      <c r="I154" s="25"/>
      <c r="J154" s="844"/>
      <c r="K154" s="892"/>
      <c r="L154" s="892"/>
      <c r="M154" s="892"/>
      <c r="N154" s="844"/>
    </row>
    <row r="155" spans="1:14" s="26" customFormat="1" ht="21">
      <c r="A155" s="25"/>
      <c r="B155" s="216"/>
      <c r="C155" s="216"/>
      <c r="D155" s="201"/>
      <c r="E155" s="25"/>
      <c r="F155" s="892"/>
      <c r="G155" s="25"/>
      <c r="H155" s="892"/>
      <c r="I155" s="25"/>
      <c r="J155" s="844"/>
      <c r="K155" s="892"/>
      <c r="L155" s="892"/>
      <c r="M155" s="892"/>
      <c r="N155" s="844"/>
    </row>
    <row r="156" spans="1:14" s="26" customFormat="1" ht="21">
      <c r="A156" s="25"/>
      <c r="B156" s="216"/>
      <c r="C156" s="216"/>
      <c r="D156" s="201"/>
      <c r="E156" s="25"/>
      <c r="F156" s="892"/>
      <c r="G156" s="25"/>
      <c r="H156" s="892"/>
      <c r="I156" s="25"/>
      <c r="J156" s="844"/>
      <c r="K156" s="892"/>
      <c r="L156" s="892"/>
      <c r="M156" s="892"/>
      <c r="N156" s="844"/>
    </row>
    <row r="157" spans="1:14" s="26" customFormat="1" ht="21">
      <c r="A157" s="25"/>
      <c r="B157" s="216"/>
      <c r="C157" s="216"/>
      <c r="D157" s="201"/>
      <c r="E157" s="25"/>
      <c r="F157" s="892"/>
      <c r="G157" s="25"/>
      <c r="H157" s="892"/>
      <c r="I157" s="25"/>
      <c r="J157" s="844"/>
      <c r="K157" s="892"/>
      <c r="L157" s="892"/>
      <c r="M157" s="892"/>
      <c r="N157" s="844"/>
    </row>
    <row r="158" spans="1:14" s="26" customFormat="1" ht="21">
      <c r="A158" s="25"/>
      <c r="B158" s="216"/>
      <c r="C158" s="216"/>
      <c r="D158" s="201"/>
      <c r="E158" s="25"/>
      <c r="F158" s="892"/>
      <c r="G158" s="25"/>
      <c r="H158" s="892"/>
      <c r="I158" s="25"/>
      <c r="J158" s="844"/>
      <c r="K158" s="892"/>
      <c r="L158" s="892"/>
      <c r="M158" s="892"/>
      <c r="N158" s="844"/>
    </row>
    <row r="159" spans="1:14" s="26" customFormat="1" ht="21">
      <c r="A159" s="25"/>
      <c r="B159" s="216"/>
      <c r="C159" s="216"/>
      <c r="D159" s="201"/>
      <c r="E159" s="25"/>
      <c r="F159" s="892"/>
      <c r="G159" s="25"/>
      <c r="H159" s="892"/>
      <c r="I159" s="25"/>
      <c r="J159" s="844"/>
      <c r="K159" s="892"/>
      <c r="L159" s="892"/>
      <c r="M159" s="892"/>
      <c r="N159" s="844"/>
    </row>
    <row r="160" spans="1:14" s="26" customFormat="1" ht="21">
      <c r="A160" s="25"/>
      <c r="B160" s="216"/>
      <c r="C160" s="216"/>
      <c r="D160" s="201"/>
      <c r="E160" s="25"/>
      <c r="F160" s="892"/>
      <c r="G160" s="25"/>
      <c r="H160" s="892"/>
      <c r="I160" s="25"/>
      <c r="J160" s="844"/>
      <c r="K160" s="892"/>
      <c r="L160" s="892"/>
      <c r="M160" s="892"/>
      <c r="N160" s="844"/>
    </row>
    <row r="161" spans="1:14" s="26" customFormat="1" ht="21">
      <c r="A161" s="25"/>
      <c r="B161" s="216"/>
      <c r="C161" s="216"/>
      <c r="D161" s="201"/>
      <c r="E161" s="25"/>
      <c r="F161" s="892"/>
      <c r="G161" s="25"/>
      <c r="H161" s="892"/>
      <c r="I161" s="25"/>
      <c r="J161" s="844"/>
      <c r="K161" s="892"/>
      <c r="L161" s="892"/>
      <c r="M161" s="892"/>
      <c r="N161" s="844"/>
    </row>
    <row r="162" spans="1:14" s="26" customFormat="1" ht="21">
      <c r="A162" s="25"/>
      <c r="B162" s="216"/>
      <c r="C162" s="216"/>
      <c r="D162" s="201"/>
      <c r="E162" s="25"/>
      <c r="F162" s="892"/>
      <c r="G162" s="25"/>
      <c r="H162" s="892"/>
      <c r="I162" s="25"/>
      <c r="J162" s="844"/>
      <c r="K162" s="892"/>
      <c r="L162" s="892"/>
      <c r="M162" s="892"/>
      <c r="N162" s="844"/>
    </row>
    <row r="163" spans="1:14" s="26" customFormat="1" ht="21">
      <c r="A163" s="25"/>
      <c r="B163" s="216"/>
      <c r="C163" s="216"/>
      <c r="D163" s="201"/>
      <c r="E163" s="25"/>
      <c r="F163" s="892"/>
      <c r="G163" s="25"/>
      <c r="H163" s="892"/>
      <c r="I163" s="25"/>
      <c r="J163" s="844"/>
      <c r="K163" s="892"/>
      <c r="L163" s="892"/>
      <c r="M163" s="892"/>
      <c r="N163" s="844"/>
    </row>
    <row r="164" spans="1:14" s="26" customFormat="1" ht="21">
      <c r="A164" s="25"/>
      <c r="B164" s="216"/>
      <c r="C164" s="216"/>
      <c r="D164" s="201"/>
      <c r="E164" s="25"/>
      <c r="F164" s="892"/>
      <c r="G164" s="25"/>
      <c r="H164" s="892"/>
      <c r="I164" s="25"/>
      <c r="J164" s="844"/>
      <c r="K164" s="892"/>
      <c r="L164" s="892"/>
      <c r="M164" s="892"/>
      <c r="N164" s="844"/>
    </row>
    <row r="165" spans="1:14" s="26" customFormat="1" ht="21">
      <c r="A165" s="25"/>
      <c r="B165" s="216"/>
      <c r="C165" s="216"/>
      <c r="D165" s="201"/>
      <c r="E165" s="25"/>
      <c r="F165" s="892"/>
      <c r="G165" s="25"/>
      <c r="H165" s="892"/>
      <c r="I165" s="25"/>
      <c r="J165" s="844"/>
      <c r="K165" s="892"/>
      <c r="L165" s="892"/>
      <c r="M165" s="892"/>
      <c r="N165" s="844"/>
    </row>
    <row r="166" spans="1:14" s="26" customFormat="1" ht="21">
      <c r="A166" s="25"/>
      <c r="B166" s="216"/>
      <c r="C166" s="216"/>
      <c r="D166" s="201"/>
      <c r="E166" s="25"/>
      <c r="F166" s="892"/>
      <c r="G166" s="25"/>
      <c r="H166" s="892"/>
      <c r="I166" s="25"/>
      <c r="J166" s="844"/>
      <c r="K166" s="892"/>
      <c r="L166" s="892"/>
      <c r="M166" s="892"/>
      <c r="N166" s="844"/>
    </row>
    <row r="167" spans="1:14" s="26" customFormat="1" ht="21">
      <c r="A167" s="25"/>
      <c r="B167" s="216"/>
      <c r="C167" s="216"/>
      <c r="D167" s="201"/>
      <c r="E167" s="25"/>
      <c r="F167" s="892"/>
      <c r="G167" s="25"/>
      <c r="H167" s="892"/>
      <c r="I167" s="25"/>
      <c r="J167" s="844"/>
      <c r="K167" s="892"/>
      <c r="L167" s="892"/>
      <c r="M167" s="892"/>
      <c r="N167" s="844"/>
    </row>
    <row r="168" spans="1:14" s="26" customFormat="1" ht="21">
      <c r="A168" s="25"/>
      <c r="B168" s="216"/>
      <c r="C168" s="216"/>
      <c r="D168" s="201"/>
      <c r="E168" s="25"/>
      <c r="F168" s="892"/>
      <c r="G168" s="25"/>
      <c r="H168" s="892"/>
      <c r="I168" s="25"/>
      <c r="J168" s="844"/>
      <c r="K168" s="892"/>
      <c r="L168" s="892"/>
      <c r="M168" s="892"/>
      <c r="N168" s="844"/>
    </row>
    <row r="169" spans="1:14" s="26" customFormat="1" ht="21">
      <c r="A169" s="25"/>
      <c r="B169" s="216"/>
      <c r="C169" s="216"/>
      <c r="D169" s="201"/>
      <c r="E169" s="25"/>
      <c r="F169" s="892"/>
      <c r="G169" s="25"/>
      <c r="H169" s="892"/>
      <c r="I169" s="25"/>
      <c r="J169" s="844"/>
      <c r="K169" s="892"/>
      <c r="L169" s="892"/>
      <c r="M169" s="892"/>
      <c r="N169" s="844"/>
    </row>
    <row r="170" spans="1:14" s="26" customFormat="1" ht="21">
      <c r="A170" s="25"/>
      <c r="B170" s="216"/>
      <c r="C170" s="216"/>
      <c r="D170" s="201"/>
      <c r="E170" s="25"/>
      <c r="F170" s="892"/>
      <c r="G170" s="25"/>
      <c r="H170" s="892"/>
      <c r="I170" s="25"/>
      <c r="J170" s="844"/>
      <c r="K170" s="892"/>
      <c r="L170" s="892"/>
      <c r="M170" s="892"/>
      <c r="N170" s="844"/>
    </row>
    <row r="171" spans="1:14" s="26" customFormat="1" ht="21">
      <c r="A171" s="25"/>
      <c r="B171" s="216"/>
      <c r="C171" s="216"/>
      <c r="D171" s="201"/>
      <c r="E171" s="25"/>
      <c r="F171" s="892"/>
      <c r="G171" s="25"/>
      <c r="H171" s="892"/>
      <c r="I171" s="25"/>
      <c r="J171" s="844"/>
      <c r="K171" s="892"/>
      <c r="L171" s="892"/>
      <c r="M171" s="892"/>
      <c r="N171" s="844"/>
    </row>
    <row r="172" spans="1:14" s="26" customFormat="1" ht="21">
      <c r="A172" s="25"/>
      <c r="B172" s="216"/>
      <c r="C172" s="216"/>
      <c r="D172" s="201"/>
      <c r="E172" s="25"/>
      <c r="F172" s="892"/>
      <c r="G172" s="25"/>
      <c r="H172" s="892"/>
      <c r="I172" s="25"/>
      <c r="J172" s="844"/>
      <c r="K172" s="892"/>
      <c r="L172" s="892"/>
      <c r="M172" s="892"/>
      <c r="N172" s="844"/>
    </row>
    <row r="173" spans="1:14" s="26" customFormat="1" ht="21">
      <c r="A173" s="25"/>
      <c r="B173" s="216"/>
      <c r="C173" s="216"/>
      <c r="D173" s="201"/>
      <c r="E173" s="25"/>
      <c r="F173" s="892"/>
      <c r="G173" s="25"/>
      <c r="H173" s="892"/>
      <c r="I173" s="25"/>
      <c r="J173" s="844"/>
      <c r="K173" s="892"/>
      <c r="L173" s="892"/>
      <c r="M173" s="892"/>
      <c r="N173" s="844"/>
    </row>
    <row r="174" spans="1:14" s="26" customFormat="1" ht="21">
      <c r="A174" s="25"/>
      <c r="B174" s="216"/>
      <c r="C174" s="216"/>
      <c r="D174" s="201"/>
      <c r="E174" s="25"/>
      <c r="F174" s="892"/>
      <c r="G174" s="25"/>
      <c r="H174" s="892"/>
      <c r="I174" s="25"/>
      <c r="J174" s="844"/>
      <c r="K174" s="892"/>
      <c r="L174" s="892"/>
      <c r="M174" s="892"/>
      <c r="N174" s="844"/>
    </row>
    <row r="175" spans="1:14" s="26" customFormat="1" ht="21">
      <c r="A175" s="25"/>
      <c r="B175" s="216"/>
      <c r="C175" s="216"/>
      <c r="D175" s="201"/>
      <c r="E175" s="25"/>
      <c r="F175" s="892"/>
      <c r="G175" s="25"/>
      <c r="H175" s="892"/>
      <c r="I175" s="25"/>
      <c r="J175" s="844"/>
      <c r="K175" s="892"/>
      <c r="L175" s="892"/>
      <c r="M175" s="892"/>
      <c r="N175" s="844"/>
    </row>
    <row r="176" spans="1:14" s="26" customFormat="1" ht="21">
      <c r="A176" s="25"/>
      <c r="B176" s="216"/>
      <c r="C176" s="216"/>
      <c r="D176" s="201"/>
      <c r="E176" s="25"/>
      <c r="F176" s="892"/>
      <c r="G176" s="25"/>
      <c r="H176" s="892"/>
      <c r="I176" s="25"/>
      <c r="J176" s="844"/>
      <c r="K176" s="892"/>
      <c r="L176" s="892"/>
      <c r="M176" s="892"/>
      <c r="N176" s="844"/>
    </row>
    <row r="177" spans="1:14" s="26" customFormat="1" ht="21">
      <c r="A177" s="25"/>
      <c r="B177" s="216"/>
      <c r="C177" s="216"/>
      <c r="D177" s="201"/>
      <c r="E177" s="25"/>
      <c r="F177" s="892"/>
      <c r="G177" s="25"/>
      <c r="H177" s="892"/>
      <c r="I177" s="25"/>
      <c r="J177" s="844"/>
      <c r="K177" s="892"/>
      <c r="L177" s="892"/>
      <c r="M177" s="892"/>
      <c r="N177" s="844"/>
    </row>
    <row r="178" spans="1:14" s="26" customFormat="1" ht="21">
      <c r="A178" s="25"/>
      <c r="B178" s="216"/>
      <c r="C178" s="216"/>
      <c r="D178" s="201"/>
      <c r="E178" s="25"/>
      <c r="F178" s="892"/>
      <c r="G178" s="25"/>
      <c r="H178" s="892"/>
      <c r="I178" s="25"/>
      <c r="J178" s="844"/>
      <c r="K178" s="892"/>
      <c r="L178" s="892"/>
      <c r="M178" s="892"/>
      <c r="N178" s="844"/>
    </row>
    <row r="179" spans="1:14" s="26" customFormat="1" ht="21">
      <c r="A179" s="25"/>
      <c r="B179" s="216"/>
      <c r="C179" s="216"/>
      <c r="D179" s="201"/>
      <c r="E179" s="25"/>
      <c r="F179" s="892"/>
      <c r="G179" s="25"/>
      <c r="H179" s="892"/>
      <c r="I179" s="25"/>
      <c r="J179" s="844"/>
      <c r="K179" s="892"/>
      <c r="L179" s="892"/>
      <c r="M179" s="892"/>
      <c r="N179" s="844"/>
    </row>
    <row r="180" spans="1:14" s="26" customFormat="1" ht="21">
      <c r="A180" s="25"/>
      <c r="B180" s="216"/>
      <c r="C180" s="216"/>
      <c r="D180" s="201"/>
      <c r="E180" s="25"/>
      <c r="F180" s="892"/>
      <c r="G180" s="25"/>
      <c r="H180" s="892"/>
      <c r="I180" s="25"/>
      <c r="J180" s="844"/>
      <c r="K180" s="892"/>
      <c r="L180" s="892"/>
      <c r="M180" s="892"/>
      <c r="N180" s="844"/>
    </row>
    <row r="181" spans="1:14" s="26" customFormat="1" ht="21">
      <c r="A181" s="25"/>
      <c r="B181" s="216"/>
      <c r="C181" s="216"/>
      <c r="D181" s="201"/>
      <c r="E181" s="25"/>
      <c r="F181" s="892"/>
      <c r="G181" s="25"/>
      <c r="H181" s="892"/>
      <c r="I181" s="25"/>
      <c r="J181" s="844"/>
      <c r="K181" s="892"/>
      <c r="L181" s="892"/>
      <c r="M181" s="892"/>
      <c r="N181" s="844"/>
    </row>
    <row r="182" spans="1:14" s="26" customFormat="1" ht="21">
      <c r="A182" s="25"/>
      <c r="B182" s="216"/>
      <c r="C182" s="216"/>
      <c r="D182" s="201"/>
      <c r="E182" s="25"/>
      <c r="F182" s="892"/>
      <c r="G182" s="25"/>
      <c r="H182" s="892"/>
      <c r="I182" s="25"/>
      <c r="J182" s="844"/>
      <c r="K182" s="892"/>
      <c r="L182" s="892"/>
      <c r="M182" s="892"/>
      <c r="N182" s="844"/>
    </row>
    <row r="183" spans="1:14" s="26" customFormat="1" ht="21">
      <c r="A183" s="25"/>
      <c r="B183" s="216"/>
      <c r="C183" s="216"/>
      <c r="D183" s="201"/>
      <c r="E183" s="25"/>
      <c r="F183" s="892"/>
      <c r="G183" s="25"/>
      <c r="H183" s="892"/>
      <c r="I183" s="25"/>
      <c r="J183" s="844"/>
      <c r="K183" s="892"/>
      <c r="L183" s="892"/>
      <c r="M183" s="892"/>
      <c r="N183" s="844"/>
    </row>
    <row r="184" spans="1:14" s="26" customFormat="1" ht="21">
      <c r="A184" s="25"/>
      <c r="B184" s="216"/>
      <c r="C184" s="216"/>
      <c r="D184" s="201"/>
      <c r="E184" s="25"/>
      <c r="F184" s="892"/>
      <c r="G184" s="25"/>
      <c r="H184" s="892"/>
      <c r="I184" s="25"/>
      <c r="J184" s="844"/>
      <c r="K184" s="892"/>
      <c r="L184" s="892"/>
      <c r="M184" s="892"/>
      <c r="N184" s="844"/>
    </row>
    <row r="185" spans="1:14" s="26" customFormat="1" ht="21">
      <c r="A185" s="25"/>
      <c r="B185" s="216"/>
      <c r="C185" s="216"/>
      <c r="D185" s="201"/>
      <c r="E185" s="25"/>
      <c r="F185" s="892"/>
      <c r="G185" s="25"/>
      <c r="H185" s="892"/>
      <c r="I185" s="25"/>
      <c r="J185" s="844"/>
      <c r="K185" s="892"/>
      <c r="L185" s="892"/>
      <c r="M185" s="892"/>
      <c r="N185" s="844"/>
    </row>
    <row r="186" spans="1:14" s="26" customFormat="1" ht="21">
      <c r="A186" s="25"/>
      <c r="B186" s="216"/>
      <c r="C186" s="216"/>
      <c r="D186" s="201"/>
      <c r="E186" s="25"/>
      <c r="F186" s="892"/>
      <c r="G186" s="25"/>
      <c r="H186" s="892"/>
      <c r="I186" s="25"/>
      <c r="J186" s="844"/>
      <c r="K186" s="892"/>
      <c r="L186" s="892"/>
      <c r="M186" s="892"/>
      <c r="N186" s="844"/>
    </row>
    <row r="187" spans="1:14" s="26" customFormat="1" ht="21">
      <c r="A187" s="25"/>
      <c r="B187" s="216"/>
      <c r="C187" s="216"/>
      <c r="D187" s="201"/>
      <c r="E187" s="25"/>
      <c r="F187" s="892"/>
      <c r="G187" s="25"/>
      <c r="H187" s="892"/>
      <c r="I187" s="25"/>
      <c r="J187" s="844"/>
      <c r="K187" s="892"/>
      <c r="L187" s="892"/>
      <c r="M187" s="892"/>
      <c r="N187" s="844"/>
    </row>
    <row r="188" spans="1:14" s="26" customFormat="1" ht="21">
      <c r="A188" s="25"/>
      <c r="B188" s="216"/>
      <c r="C188" s="216"/>
      <c r="D188" s="201"/>
      <c r="E188" s="25"/>
      <c r="F188" s="892"/>
      <c r="G188" s="25"/>
      <c r="H188" s="892"/>
      <c r="I188" s="25"/>
      <c r="J188" s="844"/>
      <c r="K188" s="892"/>
      <c r="L188" s="892"/>
      <c r="M188" s="892"/>
      <c r="N188" s="844"/>
    </row>
    <row r="189" spans="1:14" s="26" customFormat="1" ht="21">
      <c r="A189" s="25"/>
      <c r="B189" s="216"/>
      <c r="C189" s="216"/>
      <c r="D189" s="201"/>
      <c r="E189" s="25"/>
      <c r="F189" s="892"/>
      <c r="G189" s="25"/>
      <c r="H189" s="892"/>
      <c r="I189" s="25"/>
      <c r="J189" s="844"/>
      <c r="K189" s="892"/>
      <c r="L189" s="892"/>
      <c r="M189" s="892"/>
      <c r="N189" s="844"/>
    </row>
    <row r="190" spans="1:14" s="26" customFormat="1" ht="21">
      <c r="A190" s="25"/>
      <c r="B190" s="216"/>
      <c r="C190" s="216"/>
      <c r="D190" s="201"/>
      <c r="E190" s="25"/>
      <c r="F190" s="892"/>
      <c r="G190" s="25"/>
      <c r="H190" s="892"/>
      <c r="I190" s="25"/>
      <c r="J190" s="844"/>
      <c r="K190" s="892"/>
      <c r="L190" s="892"/>
      <c r="M190" s="892"/>
      <c r="N190" s="844"/>
    </row>
    <row r="191" spans="1:14" s="26" customFormat="1" ht="21">
      <c r="A191" s="25"/>
      <c r="B191" s="216"/>
      <c r="C191" s="216"/>
      <c r="D191" s="201"/>
      <c r="E191" s="25"/>
      <c r="F191" s="892"/>
      <c r="G191" s="25"/>
      <c r="H191" s="892"/>
      <c r="I191" s="25"/>
      <c r="J191" s="844"/>
      <c r="K191" s="892"/>
      <c r="L191" s="892"/>
      <c r="M191" s="892"/>
      <c r="N191" s="844"/>
    </row>
    <row r="192" spans="1:14" s="26" customFormat="1" ht="21">
      <c r="A192" s="25"/>
      <c r="B192" s="216"/>
      <c r="C192" s="216"/>
      <c r="D192" s="201"/>
      <c r="E192" s="25"/>
      <c r="F192" s="892"/>
      <c r="G192" s="25"/>
      <c r="H192" s="892"/>
      <c r="I192" s="25"/>
      <c r="J192" s="844"/>
      <c r="K192" s="892"/>
      <c r="L192" s="892"/>
      <c r="M192" s="892"/>
      <c r="N192" s="844"/>
    </row>
    <row r="193" spans="1:14" s="26" customFormat="1" ht="21">
      <c r="A193" s="25"/>
      <c r="B193" s="216"/>
      <c r="C193" s="216"/>
      <c r="D193" s="201"/>
      <c r="E193" s="25"/>
      <c r="F193" s="892"/>
      <c r="G193" s="25"/>
      <c r="H193" s="892"/>
      <c r="I193" s="25"/>
      <c r="J193" s="844"/>
      <c r="K193" s="892"/>
      <c r="L193" s="892"/>
      <c r="M193" s="892"/>
      <c r="N193" s="844"/>
    </row>
    <row r="194" spans="1:14" s="26" customFormat="1" ht="21">
      <c r="A194" s="25"/>
      <c r="B194" s="216"/>
      <c r="C194" s="216"/>
      <c r="D194" s="201"/>
      <c r="E194" s="25"/>
      <c r="F194" s="892"/>
      <c r="G194" s="25"/>
      <c r="H194" s="892"/>
      <c r="I194" s="25"/>
      <c r="J194" s="844"/>
      <c r="K194" s="892"/>
      <c r="L194" s="892"/>
      <c r="M194" s="892"/>
      <c r="N194" s="844"/>
    </row>
    <row r="195" spans="1:14" s="26" customFormat="1" ht="21">
      <c r="A195" s="25"/>
      <c r="B195" s="216"/>
      <c r="C195" s="216"/>
      <c r="D195" s="201"/>
      <c r="E195" s="25"/>
      <c r="F195" s="892"/>
      <c r="G195" s="25"/>
      <c r="H195" s="892"/>
      <c r="I195" s="25"/>
      <c r="J195" s="844"/>
      <c r="K195" s="892"/>
      <c r="L195" s="892"/>
      <c r="M195" s="892"/>
      <c r="N195" s="844"/>
    </row>
    <row r="196" spans="1:14" s="26" customFormat="1" ht="21">
      <c r="A196" s="25"/>
      <c r="B196" s="216"/>
      <c r="C196" s="216"/>
      <c r="D196" s="201"/>
      <c r="E196" s="25"/>
      <c r="F196" s="892"/>
      <c r="G196" s="25"/>
      <c r="H196" s="892"/>
      <c r="I196" s="25"/>
      <c r="J196" s="844"/>
      <c r="K196" s="892"/>
      <c r="L196" s="892"/>
      <c r="M196" s="892"/>
      <c r="N196" s="844"/>
    </row>
    <row r="197" spans="1:14" s="26" customFormat="1" ht="21">
      <c r="A197" s="25"/>
      <c r="B197" s="216"/>
      <c r="C197" s="216"/>
      <c r="D197" s="201"/>
      <c r="E197" s="25"/>
      <c r="F197" s="892"/>
      <c r="G197" s="25"/>
      <c r="H197" s="892"/>
      <c r="I197" s="25"/>
      <c r="J197" s="844"/>
      <c r="K197" s="892"/>
      <c r="L197" s="892"/>
      <c r="M197" s="892"/>
      <c r="N197" s="844"/>
    </row>
    <row r="198" spans="1:14" s="26" customFormat="1" ht="21">
      <c r="A198" s="25"/>
      <c r="B198" s="216"/>
      <c r="C198" s="216"/>
      <c r="D198" s="201"/>
      <c r="E198" s="25"/>
      <c r="F198" s="892"/>
      <c r="G198" s="25"/>
      <c r="H198" s="892"/>
      <c r="I198" s="25"/>
      <c r="J198" s="844"/>
      <c r="K198" s="892"/>
      <c r="L198" s="892"/>
      <c r="M198" s="892"/>
      <c r="N198" s="844"/>
    </row>
    <row r="199" spans="1:14" s="26" customFormat="1" ht="21">
      <c r="A199" s="25"/>
      <c r="B199" s="216"/>
      <c r="C199" s="216"/>
      <c r="D199" s="201"/>
      <c r="E199" s="25"/>
      <c r="F199" s="892"/>
      <c r="G199" s="25"/>
      <c r="H199" s="892"/>
      <c r="I199" s="25"/>
      <c r="J199" s="844"/>
      <c r="K199" s="892"/>
      <c r="L199" s="892"/>
      <c r="M199" s="892"/>
      <c r="N199" s="844"/>
    </row>
    <row r="200" spans="1:14" s="26" customFormat="1" ht="21">
      <c r="A200" s="25"/>
      <c r="B200" s="216"/>
      <c r="C200" s="216"/>
      <c r="D200" s="201"/>
      <c r="E200" s="25"/>
      <c r="F200" s="892"/>
      <c r="G200" s="25"/>
      <c r="H200" s="892"/>
      <c r="I200" s="25"/>
      <c r="J200" s="844"/>
      <c r="K200" s="892"/>
      <c r="L200" s="892"/>
      <c r="M200" s="892"/>
      <c r="N200" s="844"/>
    </row>
    <row r="201" spans="1:14" s="26" customFormat="1" ht="21">
      <c r="A201" s="25"/>
      <c r="B201" s="216"/>
      <c r="C201" s="216"/>
      <c r="D201" s="201"/>
      <c r="E201" s="25"/>
      <c r="F201" s="892"/>
      <c r="G201" s="25"/>
      <c r="H201" s="892"/>
      <c r="I201" s="25"/>
      <c r="J201" s="844"/>
      <c r="K201" s="892"/>
      <c r="L201" s="892"/>
      <c r="M201" s="892"/>
      <c r="N201" s="844"/>
    </row>
    <row r="202" spans="1:14" s="26" customFormat="1" ht="21">
      <c r="A202" s="25"/>
      <c r="B202" s="216"/>
      <c r="C202" s="216"/>
      <c r="D202" s="201"/>
      <c r="E202" s="25"/>
      <c r="F202" s="892"/>
      <c r="G202" s="25"/>
      <c r="H202" s="892"/>
      <c r="I202" s="25"/>
      <c r="J202" s="844"/>
      <c r="K202" s="892"/>
      <c r="L202" s="892"/>
      <c r="M202" s="892"/>
      <c r="N202" s="844"/>
    </row>
    <row r="203" spans="1:14" s="26" customFormat="1" ht="21">
      <c r="A203" s="25"/>
      <c r="B203" s="216"/>
      <c r="C203" s="216"/>
      <c r="D203" s="201"/>
      <c r="E203" s="25"/>
      <c r="F203" s="892"/>
      <c r="G203" s="25"/>
      <c r="H203" s="892"/>
      <c r="I203" s="25"/>
      <c r="J203" s="844"/>
      <c r="K203" s="892"/>
      <c r="L203" s="892"/>
      <c r="M203" s="892"/>
      <c r="N203" s="844"/>
    </row>
    <row r="204" spans="1:14" s="26" customFormat="1" ht="21">
      <c r="A204" s="25"/>
      <c r="B204" s="216"/>
      <c r="C204" s="216"/>
      <c r="D204" s="201"/>
      <c r="E204" s="25"/>
      <c r="F204" s="892"/>
      <c r="G204" s="25"/>
      <c r="H204" s="892"/>
      <c r="I204" s="25"/>
      <c r="J204" s="844"/>
      <c r="K204" s="892"/>
      <c r="L204" s="892"/>
      <c r="M204" s="892"/>
      <c r="N204" s="844"/>
    </row>
    <row r="205" spans="1:14" s="26" customFormat="1" ht="21">
      <c r="A205" s="25"/>
      <c r="B205" s="216"/>
      <c r="C205" s="216"/>
      <c r="D205" s="201"/>
      <c r="E205" s="25"/>
      <c r="F205" s="892"/>
      <c r="G205" s="25"/>
      <c r="H205" s="892"/>
      <c r="I205" s="25"/>
      <c r="J205" s="844"/>
      <c r="K205" s="892"/>
      <c r="L205" s="892"/>
      <c r="M205" s="892"/>
      <c r="N205" s="844"/>
    </row>
    <row r="206" spans="1:14" s="26" customFormat="1" ht="21">
      <c r="A206" s="25"/>
      <c r="B206" s="216"/>
      <c r="C206" s="216"/>
      <c r="D206" s="201"/>
      <c r="E206" s="25"/>
      <c r="F206" s="892"/>
      <c r="G206" s="25"/>
      <c r="H206" s="892"/>
      <c r="I206" s="25"/>
      <c r="J206" s="844"/>
      <c r="K206" s="892"/>
      <c r="L206" s="892"/>
      <c r="M206" s="892"/>
      <c r="N206" s="844"/>
    </row>
    <row r="207" spans="1:14" s="26" customFormat="1" ht="21">
      <c r="A207" s="25"/>
      <c r="B207" s="216"/>
      <c r="C207" s="216"/>
      <c r="D207" s="201"/>
      <c r="E207" s="25"/>
      <c r="F207" s="892"/>
      <c r="G207" s="25"/>
      <c r="H207" s="892"/>
      <c r="I207" s="25"/>
      <c r="J207" s="844"/>
      <c r="K207" s="892"/>
      <c r="L207" s="892"/>
      <c r="M207" s="892"/>
      <c r="N207" s="844"/>
    </row>
    <row r="208" spans="1:14" s="26" customFormat="1" ht="21">
      <c r="A208" s="25"/>
      <c r="B208" s="216"/>
      <c r="C208" s="216"/>
      <c r="D208" s="201"/>
      <c r="E208" s="25"/>
      <c r="F208" s="892"/>
      <c r="G208" s="25"/>
      <c r="H208" s="892"/>
      <c r="I208" s="25"/>
      <c r="J208" s="844"/>
      <c r="K208" s="892"/>
      <c r="L208" s="892"/>
      <c r="M208" s="892"/>
      <c r="N208" s="844"/>
    </row>
    <row r="209" spans="1:14" s="26" customFormat="1" ht="21">
      <c r="A209" s="25"/>
      <c r="B209" s="216"/>
      <c r="C209" s="216"/>
      <c r="D209" s="201"/>
      <c r="E209" s="25"/>
      <c r="F209" s="892"/>
      <c r="G209" s="25"/>
      <c r="H209" s="892"/>
      <c r="I209" s="25"/>
      <c r="J209" s="844"/>
      <c r="K209" s="892"/>
      <c r="L209" s="892"/>
      <c r="M209" s="892"/>
      <c r="N209" s="844"/>
    </row>
    <row r="210" spans="1:14" s="26" customFormat="1" ht="21">
      <c r="A210" s="25"/>
      <c r="B210" s="216"/>
      <c r="C210" s="216"/>
      <c r="D210" s="201"/>
      <c r="E210" s="25"/>
      <c r="F210" s="892"/>
      <c r="G210" s="25"/>
      <c r="H210" s="892"/>
      <c r="I210" s="25"/>
      <c r="J210" s="844"/>
      <c r="K210" s="892"/>
      <c r="L210" s="892"/>
      <c r="M210" s="892"/>
      <c r="N210" s="844"/>
    </row>
    <row r="211" spans="1:14" s="26" customFormat="1" ht="21">
      <c r="A211" s="25"/>
      <c r="B211" s="216"/>
      <c r="C211" s="216"/>
      <c r="D211" s="201"/>
      <c r="E211" s="25"/>
      <c r="F211" s="892"/>
      <c r="G211" s="25"/>
      <c r="H211" s="892"/>
      <c r="I211" s="25"/>
      <c r="J211" s="844"/>
      <c r="K211" s="892"/>
      <c r="L211" s="892"/>
      <c r="M211" s="892"/>
      <c r="N211" s="844"/>
    </row>
    <row r="212" spans="1:14" s="26" customFormat="1" ht="21.75">
      <c r="A212" s="122"/>
      <c r="B212" s="217"/>
      <c r="C212" s="217"/>
      <c r="D212" s="202"/>
      <c r="E212" s="122"/>
      <c r="F212" s="878"/>
      <c r="G212" s="122"/>
      <c r="H212" s="878"/>
      <c r="I212" s="25"/>
      <c r="J212" s="844"/>
      <c r="K212" s="892"/>
      <c r="L212" s="892"/>
      <c r="M212" s="892"/>
      <c r="N212" s="844"/>
    </row>
    <row r="213" spans="1:14" s="26" customFormat="1" ht="21.75">
      <c r="A213" s="122"/>
      <c r="B213" s="217"/>
      <c r="C213" s="217"/>
      <c r="D213" s="202"/>
      <c r="E213" s="122"/>
      <c r="F213" s="878"/>
      <c r="G213" s="122"/>
      <c r="H213" s="878"/>
      <c r="I213" s="25"/>
      <c r="J213" s="844"/>
      <c r="K213" s="892"/>
      <c r="L213" s="892"/>
      <c r="M213" s="892"/>
      <c r="N213" s="844"/>
    </row>
    <row r="214" spans="1:14" s="26" customFormat="1" ht="21.75">
      <c r="A214" s="122"/>
      <c r="B214" s="217"/>
      <c r="C214" s="217"/>
      <c r="D214" s="202"/>
      <c r="E214" s="122"/>
      <c r="F214" s="878"/>
      <c r="G214" s="122"/>
      <c r="H214" s="878"/>
      <c r="I214" s="25"/>
      <c r="J214" s="844"/>
      <c r="K214" s="892"/>
      <c r="L214" s="892"/>
      <c r="M214" s="892"/>
      <c r="N214" s="844"/>
    </row>
    <row r="215" spans="1:14" s="26" customFormat="1" ht="21.75">
      <c r="A215" s="122"/>
      <c r="B215" s="217"/>
      <c r="C215" s="217"/>
      <c r="D215" s="202"/>
      <c r="E215" s="122"/>
      <c r="F215" s="878"/>
      <c r="G215" s="122"/>
      <c r="H215" s="878"/>
      <c r="I215" s="25"/>
      <c r="J215" s="844"/>
      <c r="K215" s="892"/>
      <c r="L215" s="892"/>
      <c r="M215" s="892"/>
      <c r="N215" s="844"/>
    </row>
    <row r="216" spans="1:14" s="26" customFormat="1" ht="21.75">
      <c r="A216" s="122"/>
      <c r="B216" s="217"/>
      <c r="C216" s="217"/>
      <c r="D216" s="202"/>
      <c r="E216" s="122"/>
      <c r="F216" s="878"/>
      <c r="G216" s="122"/>
      <c r="H216" s="878"/>
      <c r="I216" s="25"/>
      <c r="J216" s="844"/>
      <c r="K216" s="892"/>
      <c r="L216" s="892"/>
      <c r="M216" s="892"/>
      <c r="N216" s="844"/>
    </row>
    <row r="217" spans="1:14" s="26" customFormat="1" ht="21.75">
      <c r="A217" s="122"/>
      <c r="B217" s="217"/>
      <c r="C217" s="217"/>
      <c r="D217" s="202"/>
      <c r="E217" s="122"/>
      <c r="F217" s="878"/>
      <c r="G217" s="122"/>
      <c r="H217" s="878"/>
      <c r="I217" s="25"/>
      <c r="J217" s="844"/>
      <c r="K217" s="892"/>
      <c r="L217" s="892"/>
      <c r="M217" s="892"/>
      <c r="N217" s="844"/>
    </row>
    <row r="218" spans="1:14" s="26" customFormat="1" ht="21.75">
      <c r="A218" s="122"/>
      <c r="B218" s="217"/>
      <c r="C218" s="217"/>
      <c r="D218" s="202"/>
      <c r="E218" s="122"/>
      <c r="F218" s="878"/>
      <c r="G218" s="122"/>
      <c r="H218" s="878"/>
      <c r="I218" s="25"/>
      <c r="J218" s="844"/>
      <c r="K218" s="892"/>
      <c r="L218" s="892"/>
      <c r="M218" s="892"/>
      <c r="N218" s="844"/>
    </row>
    <row r="219" spans="1:14" s="26" customFormat="1" ht="21.75">
      <c r="A219" s="122"/>
      <c r="B219" s="217"/>
      <c r="C219" s="217"/>
      <c r="D219" s="202"/>
      <c r="E219" s="122"/>
      <c r="F219" s="878"/>
      <c r="G219" s="122"/>
      <c r="H219" s="878"/>
      <c r="I219" s="25"/>
      <c r="J219" s="844"/>
      <c r="K219" s="892"/>
      <c r="L219" s="892"/>
      <c r="M219" s="892"/>
      <c r="N219" s="844"/>
    </row>
    <row r="220" spans="1:14" s="26" customFormat="1" ht="21.75">
      <c r="A220" s="122"/>
      <c r="B220" s="217"/>
      <c r="C220" s="217"/>
      <c r="D220" s="202"/>
      <c r="E220" s="122"/>
      <c r="F220" s="878"/>
      <c r="G220" s="122"/>
      <c r="H220" s="878"/>
      <c r="I220" s="25"/>
      <c r="J220" s="844"/>
      <c r="K220" s="892"/>
      <c r="L220" s="892"/>
      <c r="M220" s="892"/>
      <c r="N220" s="844"/>
    </row>
    <row r="221" spans="1:14" s="26" customFormat="1" ht="21.75">
      <c r="A221" s="122"/>
      <c r="B221" s="217"/>
      <c r="C221" s="217"/>
      <c r="D221" s="202"/>
      <c r="E221" s="122"/>
      <c r="F221" s="878"/>
      <c r="G221" s="122"/>
      <c r="H221" s="878"/>
      <c r="I221" s="25"/>
      <c r="J221" s="844"/>
      <c r="K221" s="892"/>
      <c r="L221" s="892"/>
      <c r="M221" s="892"/>
      <c r="N221" s="844"/>
    </row>
    <row r="222" spans="1:14" s="26" customFormat="1" ht="21.75">
      <c r="A222" s="122"/>
      <c r="B222" s="217"/>
      <c r="C222" s="217"/>
      <c r="D222" s="202"/>
      <c r="E222" s="122"/>
      <c r="F222" s="878"/>
      <c r="G222" s="122"/>
      <c r="H222" s="878"/>
      <c r="I222" s="25"/>
      <c r="J222" s="844"/>
      <c r="K222" s="892"/>
      <c r="L222" s="892"/>
      <c r="M222" s="892"/>
      <c r="N222" s="844"/>
    </row>
    <row r="223" spans="1:14" s="26" customFormat="1" ht="21.75">
      <c r="A223" s="122"/>
      <c r="B223" s="217"/>
      <c r="C223" s="217"/>
      <c r="D223" s="202"/>
      <c r="E223" s="122"/>
      <c r="F223" s="878"/>
      <c r="G223" s="122"/>
      <c r="H223" s="878"/>
      <c r="I223" s="25"/>
      <c r="J223" s="844"/>
      <c r="K223" s="892"/>
      <c r="L223" s="892"/>
      <c r="M223" s="892"/>
      <c r="N223" s="844"/>
    </row>
    <row r="224" spans="1:14" s="26" customFormat="1" ht="21.75">
      <c r="A224" s="122"/>
      <c r="B224" s="217"/>
      <c r="C224" s="217"/>
      <c r="D224" s="202"/>
      <c r="E224" s="122"/>
      <c r="F224" s="878"/>
      <c r="G224" s="122"/>
      <c r="H224" s="878"/>
      <c r="I224" s="25"/>
      <c r="J224" s="844"/>
      <c r="K224" s="892"/>
      <c r="L224" s="892"/>
      <c r="M224" s="892"/>
      <c r="N224" s="844"/>
    </row>
    <row r="225" spans="1:14" s="26" customFormat="1" ht="21.75">
      <c r="A225" s="122"/>
      <c r="B225" s="217"/>
      <c r="C225" s="217"/>
      <c r="D225" s="202"/>
      <c r="E225" s="122"/>
      <c r="F225" s="878"/>
      <c r="G225" s="122"/>
      <c r="H225" s="878"/>
      <c r="I225" s="25"/>
      <c r="J225" s="844"/>
      <c r="K225" s="892"/>
      <c r="L225" s="892"/>
      <c r="M225" s="892"/>
      <c r="N225" s="844"/>
    </row>
    <row r="226" spans="1:14" s="26" customFormat="1" ht="21.75">
      <c r="A226" s="122"/>
      <c r="B226" s="217"/>
      <c r="C226" s="217"/>
      <c r="D226" s="202"/>
      <c r="E226" s="122"/>
      <c r="F226" s="878"/>
      <c r="G226" s="122"/>
      <c r="H226" s="878"/>
      <c r="I226" s="25"/>
      <c r="J226" s="844"/>
      <c r="K226" s="892"/>
      <c r="L226" s="892"/>
      <c r="M226" s="892"/>
      <c r="N226" s="844"/>
    </row>
    <row r="227" spans="1:14" s="26" customFormat="1" ht="21.75">
      <c r="A227" s="122"/>
      <c r="B227" s="217"/>
      <c r="C227" s="217"/>
      <c r="D227" s="202"/>
      <c r="E227" s="122"/>
      <c r="F227" s="878"/>
      <c r="G227" s="122"/>
      <c r="H227" s="878"/>
      <c r="I227" s="25"/>
      <c r="J227" s="844"/>
      <c r="K227" s="892"/>
      <c r="L227" s="892"/>
      <c r="M227" s="892"/>
      <c r="N227" s="844"/>
    </row>
    <row r="228" spans="1:14" s="26" customFormat="1" ht="21.75">
      <c r="A228" s="122"/>
      <c r="B228" s="217"/>
      <c r="C228" s="217"/>
      <c r="D228" s="202"/>
      <c r="E228" s="122"/>
      <c r="F228" s="878"/>
      <c r="G228" s="122"/>
      <c r="H228" s="878"/>
      <c r="I228" s="25"/>
      <c r="J228" s="844"/>
      <c r="K228" s="892"/>
      <c r="L228" s="892"/>
      <c r="M228" s="892"/>
      <c r="N228" s="844"/>
    </row>
    <row r="229" spans="1:14" s="26" customFormat="1" ht="21.75">
      <c r="A229" s="122"/>
      <c r="B229" s="217"/>
      <c r="C229" s="217"/>
      <c r="D229" s="202"/>
      <c r="E229" s="122"/>
      <c r="F229" s="878"/>
      <c r="G229" s="122"/>
      <c r="H229" s="878"/>
      <c r="I229" s="25"/>
      <c r="J229" s="844"/>
      <c r="K229" s="892"/>
      <c r="L229" s="892"/>
      <c r="M229" s="892"/>
      <c r="N229" s="844"/>
    </row>
    <row r="230" spans="1:14" s="26" customFormat="1" ht="21.75">
      <c r="A230" s="122"/>
      <c r="B230" s="217"/>
      <c r="C230" s="217"/>
      <c r="D230" s="202"/>
      <c r="E230" s="122"/>
      <c r="F230" s="878"/>
      <c r="G230" s="122"/>
      <c r="H230" s="878"/>
      <c r="I230" s="25"/>
      <c r="J230" s="844"/>
      <c r="K230" s="892"/>
      <c r="L230" s="892"/>
      <c r="M230" s="892"/>
      <c r="N230" s="844"/>
    </row>
    <row r="231" spans="1:14" s="26" customFormat="1" ht="21.75">
      <c r="A231" s="122"/>
      <c r="B231" s="217"/>
      <c r="C231" s="217"/>
      <c r="D231" s="202"/>
      <c r="E231" s="122"/>
      <c r="F231" s="878"/>
      <c r="G231" s="122"/>
      <c r="H231" s="878"/>
      <c r="I231" s="25"/>
      <c r="J231" s="844"/>
      <c r="K231" s="892"/>
      <c r="L231" s="892"/>
      <c r="M231" s="892"/>
      <c r="N231" s="844"/>
    </row>
    <row r="232" spans="1:14" s="26" customFormat="1" ht="21.75">
      <c r="A232" s="122"/>
      <c r="B232" s="217"/>
      <c r="C232" s="217"/>
      <c r="D232" s="202"/>
      <c r="E232" s="122"/>
      <c r="F232" s="878"/>
      <c r="G232" s="122"/>
      <c r="H232" s="878"/>
      <c r="I232" s="25"/>
      <c r="J232" s="844"/>
      <c r="K232" s="892"/>
      <c r="L232" s="892"/>
      <c r="M232" s="892"/>
      <c r="N232" s="844"/>
    </row>
    <row r="233" spans="1:14" s="26" customFormat="1" ht="21.75">
      <c r="A233" s="122"/>
      <c r="B233" s="217"/>
      <c r="C233" s="217"/>
      <c r="D233" s="202"/>
      <c r="E233" s="122"/>
      <c r="F233" s="878"/>
      <c r="G233" s="122"/>
      <c r="H233" s="878"/>
      <c r="I233" s="25"/>
      <c r="J233" s="844"/>
      <c r="K233" s="892"/>
      <c r="L233" s="892"/>
      <c r="M233" s="892"/>
      <c r="N233" s="844"/>
    </row>
    <row r="234" spans="1:14" s="26" customFormat="1" ht="21.75">
      <c r="A234" s="122"/>
      <c r="B234" s="217"/>
      <c r="C234" s="217"/>
      <c r="D234" s="202"/>
      <c r="E234" s="122"/>
      <c r="F234" s="878"/>
      <c r="G234" s="122"/>
      <c r="H234" s="878"/>
      <c r="I234" s="25"/>
      <c r="J234" s="844"/>
      <c r="K234" s="892"/>
      <c r="L234" s="892"/>
      <c r="M234" s="892"/>
      <c r="N234" s="844"/>
    </row>
    <row r="235" spans="1:14" s="26" customFormat="1" ht="21.75">
      <c r="A235" s="122"/>
      <c r="B235" s="217"/>
      <c r="C235" s="217"/>
      <c r="D235" s="202"/>
      <c r="E235" s="122"/>
      <c r="F235" s="878"/>
      <c r="G235" s="122"/>
      <c r="H235" s="878"/>
      <c r="I235" s="25"/>
      <c r="J235" s="844"/>
      <c r="K235" s="892"/>
      <c r="L235" s="892"/>
      <c r="M235" s="892"/>
      <c r="N235" s="844"/>
    </row>
    <row r="236" spans="1:14" s="26" customFormat="1" ht="21.75">
      <c r="A236" s="122"/>
      <c r="B236" s="217"/>
      <c r="C236" s="217"/>
      <c r="D236" s="202"/>
      <c r="E236" s="122"/>
      <c r="F236" s="878"/>
      <c r="G236" s="122"/>
      <c r="H236" s="878"/>
      <c r="I236" s="25"/>
      <c r="J236" s="844"/>
      <c r="K236" s="892"/>
      <c r="L236" s="892"/>
      <c r="M236" s="892"/>
      <c r="N236" s="844"/>
    </row>
    <row r="237" spans="1:14" s="26" customFormat="1" ht="21.75">
      <c r="A237" s="122"/>
      <c r="B237" s="217"/>
      <c r="C237" s="217"/>
      <c r="D237" s="202"/>
      <c r="E237" s="122"/>
      <c r="F237" s="878"/>
      <c r="G237" s="122"/>
      <c r="H237" s="878"/>
      <c r="I237" s="25"/>
      <c r="J237" s="844"/>
      <c r="K237" s="892"/>
      <c r="L237" s="892"/>
      <c r="M237" s="892"/>
      <c r="N237" s="844"/>
    </row>
    <row r="238" spans="1:14" s="26" customFormat="1" ht="21.75">
      <c r="A238" s="122"/>
      <c r="B238" s="217"/>
      <c r="C238" s="217"/>
      <c r="D238" s="202"/>
      <c r="E238" s="122"/>
      <c r="F238" s="878"/>
      <c r="G238" s="122"/>
      <c r="H238" s="878"/>
      <c r="I238" s="25"/>
      <c r="J238" s="844"/>
      <c r="K238" s="892"/>
      <c r="L238" s="892"/>
      <c r="M238" s="892"/>
      <c r="N238" s="844"/>
    </row>
    <row r="239" spans="1:14" s="26" customFormat="1" ht="21.75">
      <c r="A239" s="122"/>
      <c r="B239" s="217"/>
      <c r="C239" s="217"/>
      <c r="D239" s="202"/>
      <c r="E239" s="122"/>
      <c r="F239" s="878"/>
      <c r="G239" s="122"/>
      <c r="H239" s="878"/>
      <c r="I239" s="25"/>
      <c r="J239" s="844"/>
      <c r="K239" s="892"/>
      <c r="L239" s="892"/>
      <c r="M239" s="892"/>
      <c r="N239" s="844"/>
    </row>
    <row r="240" spans="1:14" s="26" customFormat="1" ht="21.75">
      <c r="A240" s="122"/>
      <c r="B240" s="217"/>
      <c r="C240" s="217"/>
      <c r="D240" s="202"/>
      <c r="E240" s="122"/>
      <c r="F240" s="878"/>
      <c r="G240" s="122"/>
      <c r="H240" s="878"/>
      <c r="I240" s="25"/>
      <c r="J240" s="844"/>
      <c r="K240" s="892"/>
      <c r="L240" s="892"/>
      <c r="M240" s="892"/>
      <c r="N240" s="844"/>
    </row>
    <row r="241" spans="1:14" s="26" customFormat="1" ht="21.75">
      <c r="A241" s="122"/>
      <c r="B241" s="217"/>
      <c r="C241" s="217"/>
      <c r="D241" s="202"/>
      <c r="E241" s="122"/>
      <c r="F241" s="878"/>
      <c r="G241" s="122"/>
      <c r="H241" s="878"/>
      <c r="I241" s="25"/>
      <c r="J241" s="844"/>
      <c r="K241" s="892"/>
      <c r="L241" s="892"/>
      <c r="M241" s="892"/>
      <c r="N241" s="844"/>
    </row>
    <row r="242" spans="1:14" s="26" customFormat="1" ht="21.75">
      <c r="A242" s="122"/>
      <c r="B242" s="217"/>
      <c r="C242" s="217"/>
      <c r="D242" s="202"/>
      <c r="E242" s="122"/>
      <c r="F242" s="878"/>
      <c r="G242" s="122"/>
      <c r="H242" s="878"/>
      <c r="I242" s="25"/>
      <c r="J242" s="844"/>
      <c r="K242" s="892"/>
      <c r="L242" s="892"/>
      <c r="M242" s="892"/>
      <c r="N242" s="844"/>
    </row>
    <row r="243" spans="1:14" s="26" customFormat="1" ht="21.75">
      <c r="A243" s="122"/>
      <c r="B243" s="217"/>
      <c r="C243" s="217"/>
      <c r="D243" s="202"/>
      <c r="E243" s="122"/>
      <c r="F243" s="878"/>
      <c r="G243" s="122"/>
      <c r="H243" s="878"/>
      <c r="I243" s="25"/>
      <c r="J243" s="844"/>
      <c r="K243" s="892"/>
      <c r="L243" s="892"/>
      <c r="M243" s="892"/>
      <c r="N243" s="844"/>
    </row>
    <row r="244" spans="1:14" s="26" customFormat="1" ht="21.75">
      <c r="A244" s="122"/>
      <c r="B244" s="217"/>
      <c r="C244" s="217"/>
      <c r="D244" s="202"/>
      <c r="E244" s="122"/>
      <c r="F244" s="878"/>
      <c r="G244" s="122"/>
      <c r="H244" s="878"/>
      <c r="I244" s="25"/>
      <c r="J244" s="844"/>
      <c r="K244" s="892"/>
      <c r="L244" s="892"/>
      <c r="M244" s="892"/>
      <c r="N244" s="844"/>
    </row>
    <row r="245" spans="1:14" s="26" customFormat="1" ht="21.75">
      <c r="A245" s="122"/>
      <c r="B245" s="217"/>
      <c r="C245" s="217"/>
      <c r="D245" s="202"/>
      <c r="E245" s="122"/>
      <c r="F245" s="878"/>
      <c r="G245" s="122"/>
      <c r="H245" s="878"/>
      <c r="I245" s="25"/>
      <c r="J245" s="844"/>
      <c r="K245" s="892"/>
      <c r="L245" s="892"/>
      <c r="M245" s="892"/>
      <c r="N245" s="844"/>
    </row>
    <row r="246" spans="1:14" s="26" customFormat="1" ht="21.75">
      <c r="A246" s="122"/>
      <c r="B246" s="217"/>
      <c r="C246" s="217"/>
      <c r="D246" s="202"/>
      <c r="E246" s="122"/>
      <c r="F246" s="878"/>
      <c r="G246" s="122"/>
      <c r="H246" s="878"/>
      <c r="I246" s="25"/>
      <c r="J246" s="844"/>
      <c r="K246" s="892"/>
      <c r="L246" s="892"/>
      <c r="M246" s="892"/>
      <c r="N246" s="844"/>
    </row>
    <row r="247" spans="1:14" s="26" customFormat="1" ht="21.75">
      <c r="A247" s="122"/>
      <c r="B247" s="217"/>
      <c r="C247" s="217"/>
      <c r="D247" s="202"/>
      <c r="E247" s="122"/>
      <c r="F247" s="878"/>
      <c r="G247" s="122"/>
      <c r="H247" s="878"/>
      <c r="I247" s="25"/>
      <c r="J247" s="844"/>
      <c r="K247" s="892"/>
      <c r="L247" s="892"/>
      <c r="M247" s="892"/>
      <c r="N247" s="844"/>
    </row>
    <row r="248" spans="1:14" s="26" customFormat="1" ht="21.75">
      <c r="A248" s="122"/>
      <c r="B248" s="217"/>
      <c r="C248" s="217"/>
      <c r="D248" s="202"/>
      <c r="E248" s="122"/>
      <c r="F248" s="878"/>
      <c r="G248" s="122"/>
      <c r="H248" s="878"/>
      <c r="I248" s="25"/>
      <c r="J248" s="844"/>
      <c r="K248" s="892"/>
      <c r="L248" s="892"/>
      <c r="M248" s="892"/>
      <c r="N248" s="844"/>
    </row>
    <row r="249" spans="1:14" s="26" customFormat="1" ht="21.75">
      <c r="A249" s="122"/>
      <c r="B249" s="217"/>
      <c r="C249" s="217"/>
      <c r="D249" s="202"/>
      <c r="E249" s="122"/>
      <c r="F249" s="878"/>
      <c r="G249" s="122"/>
      <c r="H249" s="878"/>
      <c r="I249" s="25"/>
      <c r="J249" s="844"/>
      <c r="K249" s="892"/>
      <c r="L249" s="892"/>
      <c r="M249" s="892"/>
      <c r="N249" s="844"/>
    </row>
    <row r="250" spans="1:14" s="26" customFormat="1" ht="21.75">
      <c r="A250" s="122"/>
      <c r="B250" s="217"/>
      <c r="C250" s="217"/>
      <c r="D250" s="202"/>
      <c r="E250" s="122"/>
      <c r="F250" s="878"/>
      <c r="G250" s="122"/>
      <c r="H250" s="878"/>
      <c r="I250" s="25"/>
      <c r="J250" s="844"/>
      <c r="K250" s="892"/>
      <c r="L250" s="892"/>
      <c r="M250" s="892"/>
      <c r="N250" s="844"/>
    </row>
    <row r="251" spans="1:14" s="26" customFormat="1" ht="21.75">
      <c r="A251" s="122"/>
      <c r="B251" s="217"/>
      <c r="C251" s="217"/>
      <c r="D251" s="202"/>
      <c r="E251" s="122"/>
      <c r="F251" s="878"/>
      <c r="G251" s="122"/>
      <c r="H251" s="878"/>
      <c r="I251" s="25"/>
      <c r="J251" s="844"/>
      <c r="K251" s="892"/>
      <c r="L251" s="892"/>
      <c r="M251" s="892"/>
      <c r="N251" s="844"/>
    </row>
    <row r="252" spans="1:14" s="26" customFormat="1" ht="21.75">
      <c r="A252" s="122"/>
      <c r="B252" s="217"/>
      <c r="C252" s="217"/>
      <c r="D252" s="202"/>
      <c r="E252" s="122"/>
      <c r="F252" s="878"/>
      <c r="G252" s="122"/>
      <c r="H252" s="878"/>
      <c r="I252" s="25"/>
      <c r="J252" s="844"/>
      <c r="K252" s="892"/>
      <c r="L252" s="892"/>
      <c r="M252" s="892"/>
      <c r="N252" s="844"/>
    </row>
    <row r="253" spans="1:14" s="26" customFormat="1" ht="21.75">
      <c r="A253" s="122"/>
      <c r="B253" s="217"/>
      <c r="C253" s="217"/>
      <c r="D253" s="202"/>
      <c r="E253" s="122"/>
      <c r="F253" s="878"/>
      <c r="G253" s="122"/>
      <c r="H253" s="878"/>
      <c r="I253" s="25"/>
      <c r="J253" s="844"/>
      <c r="K253" s="892"/>
      <c r="L253" s="892"/>
      <c r="M253" s="892"/>
      <c r="N253" s="844"/>
    </row>
    <row r="254" spans="1:14" s="26" customFormat="1" ht="21.75">
      <c r="A254" s="122"/>
      <c r="B254" s="217"/>
      <c r="C254" s="217"/>
      <c r="D254" s="202"/>
      <c r="E254" s="122"/>
      <c r="F254" s="878"/>
      <c r="G254" s="122"/>
      <c r="H254" s="878"/>
      <c r="I254" s="25"/>
      <c r="J254" s="844"/>
      <c r="K254" s="892"/>
      <c r="L254" s="892"/>
      <c r="M254" s="892"/>
      <c r="N254" s="844"/>
    </row>
    <row r="255" spans="1:14" s="26" customFormat="1" ht="21.75">
      <c r="A255" s="122"/>
      <c r="B255" s="217"/>
      <c r="C255" s="217"/>
      <c r="D255" s="202"/>
      <c r="E255" s="122"/>
      <c r="F255" s="878"/>
      <c r="G255" s="122"/>
      <c r="H255" s="878"/>
      <c r="I255" s="25"/>
      <c r="J255" s="844"/>
      <c r="K255" s="892"/>
      <c r="L255" s="892"/>
      <c r="M255" s="892"/>
      <c r="N255" s="844"/>
    </row>
    <row r="256" spans="1:14" s="26" customFormat="1" ht="21.75">
      <c r="A256" s="122"/>
      <c r="B256" s="217"/>
      <c r="C256" s="217"/>
      <c r="D256" s="202"/>
      <c r="E256" s="122"/>
      <c r="F256" s="878"/>
      <c r="G256" s="122"/>
      <c r="H256" s="878"/>
      <c r="I256" s="25"/>
      <c r="J256" s="844"/>
      <c r="K256" s="892"/>
      <c r="L256" s="892"/>
      <c r="M256" s="892"/>
      <c r="N256" s="844"/>
    </row>
    <row r="257" spans="1:14" s="26" customFormat="1" ht="21.75">
      <c r="A257" s="122"/>
      <c r="B257" s="217"/>
      <c r="C257" s="217"/>
      <c r="D257" s="202"/>
      <c r="E257" s="122"/>
      <c r="F257" s="878"/>
      <c r="G257" s="122"/>
      <c r="H257" s="878"/>
      <c r="I257" s="25"/>
      <c r="J257" s="844"/>
      <c r="K257" s="892"/>
      <c r="L257" s="892"/>
      <c r="M257" s="892"/>
      <c r="N257" s="844"/>
    </row>
    <row r="258" spans="1:14" s="26" customFormat="1" ht="21.75">
      <c r="A258" s="122"/>
      <c r="B258" s="217"/>
      <c r="C258" s="217"/>
      <c r="D258" s="202"/>
      <c r="E258" s="122"/>
      <c r="F258" s="878"/>
      <c r="G258" s="122"/>
      <c r="H258" s="878"/>
      <c r="I258" s="25"/>
      <c r="J258" s="844"/>
      <c r="K258" s="892"/>
      <c r="L258" s="892"/>
      <c r="M258" s="892"/>
      <c r="N258" s="844"/>
    </row>
    <row r="259" spans="1:14" s="26" customFormat="1" ht="21.75">
      <c r="A259" s="122"/>
      <c r="B259" s="217"/>
      <c r="C259" s="217"/>
      <c r="D259" s="202"/>
      <c r="E259" s="122"/>
      <c r="F259" s="878"/>
      <c r="G259" s="122"/>
      <c r="H259" s="878"/>
      <c r="I259" s="25"/>
      <c r="J259" s="844"/>
      <c r="K259" s="892"/>
      <c r="L259" s="892"/>
      <c r="M259" s="892"/>
      <c r="N259" s="844"/>
    </row>
    <row r="260" spans="1:14" s="26" customFormat="1" ht="21.75">
      <c r="A260" s="122"/>
      <c r="B260" s="217"/>
      <c r="C260" s="217"/>
      <c r="D260" s="202"/>
      <c r="E260" s="122"/>
      <c r="F260" s="878"/>
      <c r="G260" s="122"/>
      <c r="H260" s="878"/>
      <c r="I260" s="25"/>
      <c r="J260" s="844"/>
      <c r="K260" s="892"/>
      <c r="L260" s="892"/>
      <c r="M260" s="892"/>
      <c r="N260" s="844"/>
    </row>
    <row r="261" spans="1:14" s="26" customFormat="1" ht="21.75">
      <c r="A261" s="122"/>
      <c r="B261" s="217"/>
      <c r="C261" s="217"/>
      <c r="D261" s="202"/>
      <c r="E261" s="122"/>
      <c r="F261" s="878"/>
      <c r="G261" s="122"/>
      <c r="H261" s="878"/>
      <c r="I261" s="25"/>
      <c r="J261" s="844"/>
      <c r="K261" s="892"/>
      <c r="L261" s="892"/>
      <c r="M261" s="892"/>
      <c r="N261" s="844"/>
    </row>
    <row r="262" spans="1:14" s="26" customFormat="1" ht="21.75">
      <c r="A262" s="122"/>
      <c r="B262" s="217"/>
      <c r="C262" s="217"/>
      <c r="D262" s="202"/>
      <c r="E262" s="122"/>
      <c r="F262" s="878"/>
      <c r="G262" s="122"/>
      <c r="H262" s="878"/>
      <c r="I262" s="25"/>
      <c r="J262" s="844"/>
      <c r="K262" s="892"/>
      <c r="L262" s="892"/>
      <c r="M262" s="892"/>
      <c r="N262" s="844"/>
    </row>
    <row r="263" spans="1:14" s="26" customFormat="1" ht="21.75">
      <c r="A263" s="122"/>
      <c r="B263" s="217"/>
      <c r="C263" s="217"/>
      <c r="D263" s="202"/>
      <c r="E263" s="122"/>
      <c r="F263" s="878"/>
      <c r="G263" s="122"/>
      <c r="H263" s="878"/>
      <c r="I263" s="25"/>
      <c r="J263" s="844"/>
      <c r="K263" s="892"/>
      <c r="L263" s="892"/>
      <c r="M263" s="892"/>
      <c r="N263" s="844"/>
    </row>
    <row r="264" spans="1:14" s="26" customFormat="1" ht="21.75">
      <c r="A264" s="122"/>
      <c r="B264" s="217"/>
      <c r="C264" s="217"/>
      <c r="D264" s="202"/>
      <c r="E264" s="122"/>
      <c r="F264" s="878"/>
      <c r="G264" s="122"/>
      <c r="H264" s="878"/>
      <c r="I264" s="25"/>
      <c r="J264" s="844"/>
      <c r="K264" s="892"/>
      <c r="L264" s="892"/>
      <c r="M264" s="892"/>
      <c r="N264" s="844"/>
    </row>
    <row r="265" spans="1:14" s="26" customFormat="1" ht="21.75">
      <c r="A265" s="122"/>
      <c r="B265" s="217"/>
      <c r="C265" s="217"/>
      <c r="D265" s="202"/>
      <c r="E265" s="122"/>
      <c r="F265" s="878"/>
      <c r="G265" s="122"/>
      <c r="H265" s="878"/>
      <c r="I265" s="25"/>
      <c r="J265" s="844"/>
      <c r="K265" s="892"/>
      <c r="L265" s="892"/>
      <c r="M265" s="892"/>
      <c r="N265" s="844"/>
    </row>
    <row r="266" spans="1:14" s="26" customFormat="1" ht="21.75">
      <c r="A266" s="122"/>
      <c r="B266" s="217"/>
      <c r="C266" s="217"/>
      <c r="D266" s="202"/>
      <c r="E266" s="122"/>
      <c r="F266" s="878"/>
      <c r="G266" s="122"/>
      <c r="H266" s="878"/>
      <c r="I266" s="25"/>
      <c r="J266" s="844"/>
      <c r="K266" s="892"/>
      <c r="L266" s="892"/>
      <c r="M266" s="892"/>
      <c r="N266" s="844"/>
    </row>
    <row r="267" spans="1:14" s="26" customFormat="1" ht="21.75">
      <c r="A267" s="122"/>
      <c r="B267" s="217"/>
      <c r="C267" s="217"/>
      <c r="D267" s="202"/>
      <c r="E267" s="122"/>
      <c r="F267" s="878"/>
      <c r="G267" s="122"/>
      <c r="H267" s="878"/>
      <c r="I267" s="25"/>
      <c r="J267" s="844"/>
      <c r="K267" s="892"/>
      <c r="L267" s="892"/>
      <c r="M267" s="892"/>
      <c r="N267" s="844"/>
    </row>
    <row r="268" spans="1:14" s="26" customFormat="1" ht="21.75">
      <c r="A268" s="122"/>
      <c r="B268" s="217"/>
      <c r="C268" s="217"/>
      <c r="D268" s="202"/>
      <c r="E268" s="122"/>
      <c r="F268" s="878"/>
      <c r="G268" s="122"/>
      <c r="H268" s="878"/>
      <c r="I268" s="25"/>
      <c r="J268" s="844"/>
      <c r="K268" s="892"/>
      <c r="L268" s="892"/>
      <c r="M268" s="892"/>
      <c r="N268" s="844"/>
    </row>
  </sheetData>
  <sheetProtection/>
  <mergeCells count="7">
    <mergeCell ref="M2:N2"/>
    <mergeCell ref="L2:L3"/>
    <mergeCell ref="A2:A3"/>
    <mergeCell ref="E2:F2"/>
    <mergeCell ref="I2:J2"/>
    <mergeCell ref="K2:K3"/>
    <mergeCell ref="G2:H2"/>
  </mergeCells>
  <printOptions/>
  <pageMargins left="0.18" right="0.16" top="0.29" bottom="0.36" header="0.25" footer="0.27"/>
  <pageSetup horizontalDpi="600" verticalDpi="600" orientation="landscape" r:id="rId1"/>
</worksheet>
</file>

<file path=xl/worksheets/sheet15.xml><?xml version="1.0" encoding="utf-8"?>
<worksheet xmlns="http://schemas.openxmlformats.org/spreadsheetml/2006/main" xmlns:r="http://schemas.openxmlformats.org/officeDocument/2006/relationships">
  <sheetPr>
    <tabColor theme="5" tint="0.39998000860214233"/>
  </sheetPr>
  <dimension ref="A1:AZ1024"/>
  <sheetViews>
    <sheetView tabSelected="1" zoomScalePageLayoutView="0" workbookViewId="0" topLeftCell="A1">
      <selection activeCell="F51" sqref="F51"/>
    </sheetView>
  </sheetViews>
  <sheetFormatPr defaultColWidth="9.140625" defaultRowHeight="12.75"/>
  <cols>
    <col min="1" max="1" width="13.7109375" style="68" customWidth="1"/>
    <col min="2" max="2" width="4.421875" style="73" customWidth="1"/>
    <col min="3" max="3" width="6.421875" style="382" customWidth="1"/>
    <col min="4" max="4" width="5.140625" style="58" customWidth="1"/>
    <col min="5" max="5" width="6.57421875" style="353" customWidth="1"/>
    <col min="6" max="6" width="4.7109375" style="140" customWidth="1"/>
    <col min="7" max="7" width="6.28125" style="353" customWidth="1"/>
    <col min="8" max="8" width="4.8515625" style="140" customWidth="1"/>
    <col min="9" max="9" width="6.57421875" style="353" customWidth="1"/>
    <col min="10" max="10" width="4.421875" style="140" customWidth="1"/>
    <col min="11" max="11" width="6.421875" style="353" customWidth="1"/>
    <col min="12" max="12" width="4.421875" style="140" customWidth="1"/>
    <col min="13" max="13" width="6.421875" style="353" customWidth="1"/>
    <col min="14" max="14" width="5.00390625" style="140" customWidth="1"/>
    <col min="15" max="15" width="6.57421875" style="353" customWidth="1"/>
    <col min="16" max="16" width="4.8515625" style="140" customWidth="1"/>
    <col min="17" max="17" width="6.7109375" style="353" customWidth="1"/>
    <col min="18" max="18" width="5.00390625" style="140" customWidth="1"/>
    <col min="19" max="19" width="6.28125" style="353" customWidth="1"/>
    <col min="20" max="20" width="4.7109375" style="141" customWidth="1"/>
    <col min="21" max="21" width="6.7109375" style="387" customWidth="1"/>
    <col min="22" max="22" width="5.421875" style="68" customWidth="1"/>
    <col min="23" max="23" width="6.421875" style="387" customWidth="1"/>
    <col min="24" max="24" width="4.7109375" style="68" customWidth="1"/>
    <col min="25" max="25" width="6.421875" style="387" customWidth="1"/>
    <col min="26" max="26" width="4.421875" style="68" customWidth="1"/>
    <col min="27" max="27" width="6.7109375" style="387" customWidth="1"/>
    <col min="28" max="28" width="5.57421875" style="68" customWidth="1"/>
    <col min="29" max="29" width="6.7109375" style="387" customWidth="1"/>
    <col min="30" max="30" width="4.421875" style="68" customWidth="1"/>
    <col min="31" max="31" width="7.28125" style="387" customWidth="1"/>
    <col min="32" max="32" width="5.00390625" style="141" customWidth="1"/>
    <col min="33" max="33" width="8.7109375" style="456" customWidth="1"/>
    <col min="34" max="34" width="5.7109375" style="68" customWidth="1"/>
    <col min="35" max="35" width="8.8515625" style="68" customWidth="1"/>
    <col min="36" max="36" width="4.421875" style="141" customWidth="1"/>
    <col min="37" max="37" width="9.140625" style="140" customWidth="1"/>
    <col min="38" max="38" width="4.7109375" style="140" customWidth="1"/>
    <col min="39" max="39" width="8.421875" style="140" customWidth="1"/>
    <col min="40" max="40" width="4.140625" style="141" customWidth="1"/>
    <col min="41" max="41" width="7.421875" style="68" customWidth="1"/>
    <col min="42" max="42" width="4.00390625" style="68" customWidth="1"/>
    <col min="43" max="43" width="6.57421875" style="68" customWidth="1"/>
    <col min="44" max="44" width="4.140625" style="141" customWidth="1"/>
    <col min="45" max="45" width="6.8515625" style="68" customWidth="1"/>
    <col min="46" max="46" width="5.8515625" style="141" customWidth="1"/>
    <col min="47" max="47" width="8.421875" style="68" customWidth="1"/>
    <col min="48" max="48" width="5.28125" style="68" customWidth="1"/>
    <col min="49" max="49" width="9.7109375" style="91" customWidth="1"/>
    <col min="50" max="50" width="11.00390625" style="0" customWidth="1"/>
    <col min="51" max="51" width="10.8515625" style="141" customWidth="1"/>
    <col min="52" max="52" width="10.28125" style="68" customWidth="1"/>
    <col min="53" max="16384" width="9.140625" style="68" customWidth="1"/>
  </cols>
  <sheetData>
    <row r="1" spans="1:52" s="59" customFormat="1" ht="23.25" customHeight="1">
      <c r="A1" s="187" t="s">
        <v>552</v>
      </c>
      <c r="B1" s="206"/>
      <c r="C1" s="369"/>
      <c r="D1" s="58"/>
      <c r="E1" s="353"/>
      <c r="F1" s="140"/>
      <c r="G1" s="353"/>
      <c r="H1" s="140"/>
      <c r="I1" s="353"/>
      <c r="J1" s="140"/>
      <c r="K1" s="353"/>
      <c r="L1" s="140"/>
      <c r="M1" s="353"/>
      <c r="N1" s="140"/>
      <c r="O1" s="353"/>
      <c r="P1" s="140"/>
      <c r="Q1" s="353"/>
      <c r="R1" s="140"/>
      <c r="S1" s="353"/>
      <c r="T1" s="141"/>
      <c r="U1" s="353"/>
      <c r="V1" s="140"/>
      <c r="W1" s="353"/>
      <c r="X1" s="140"/>
      <c r="Y1" s="353"/>
      <c r="Z1" s="140"/>
      <c r="AA1" s="353"/>
      <c r="AB1" s="140"/>
      <c r="AC1" s="353"/>
      <c r="AD1" s="140"/>
      <c r="AE1" s="353"/>
      <c r="AF1" s="141"/>
      <c r="AG1" s="451"/>
      <c r="AH1" s="140"/>
      <c r="AI1" s="140"/>
      <c r="AN1" s="141"/>
      <c r="AP1" s="74"/>
      <c r="AQ1" s="74" t="s">
        <v>109</v>
      </c>
      <c r="AT1" s="141"/>
      <c r="AU1" s="68"/>
      <c r="AV1" s="68"/>
      <c r="AW1" s="72"/>
      <c r="AY1" s="141"/>
      <c r="AZ1" s="68"/>
    </row>
    <row r="2" spans="1:52" s="59" customFormat="1" ht="34.5" customHeight="1" thickBot="1">
      <c r="A2" s="238" t="s">
        <v>137</v>
      </c>
      <c r="B2" s="207"/>
      <c r="C2" s="370"/>
      <c r="D2"/>
      <c r="E2" s="325"/>
      <c r="F2"/>
      <c r="G2" s="325"/>
      <c r="H2"/>
      <c r="I2" s="325"/>
      <c r="J2"/>
      <c r="K2" s="325"/>
      <c r="L2"/>
      <c r="M2" s="325"/>
      <c r="N2"/>
      <c r="O2" s="325"/>
      <c r="P2"/>
      <c r="Q2" s="325"/>
      <c r="R2"/>
      <c r="S2" s="325"/>
      <c r="T2"/>
      <c r="U2" s="325"/>
      <c r="V2"/>
      <c r="W2" s="325"/>
      <c r="X2"/>
      <c r="Y2" s="325"/>
      <c r="Z2"/>
      <c r="AA2" s="325"/>
      <c r="AB2"/>
      <c r="AC2" s="325"/>
      <c r="AD2"/>
      <c r="AE2" s="325"/>
      <c r="AF2"/>
      <c r="AG2" s="1123" t="s">
        <v>483</v>
      </c>
      <c r="AH2"/>
      <c r="AI2"/>
      <c r="AJ2"/>
      <c r="AK2"/>
      <c r="AL2"/>
      <c r="AM2"/>
      <c r="AN2"/>
      <c r="AO2"/>
      <c r="AP2"/>
      <c r="AQ2"/>
      <c r="AR2"/>
      <c r="AS2"/>
      <c r="AT2"/>
      <c r="AU2"/>
      <c r="AV2" s="68"/>
      <c r="AW2" s="72"/>
      <c r="AY2" s="141"/>
      <c r="AZ2" s="68"/>
    </row>
    <row r="3" spans="1:39" s="59" customFormat="1" ht="71.25" customHeight="1">
      <c r="A3" s="1163" t="s">
        <v>473</v>
      </c>
      <c r="B3" s="1221" t="s">
        <v>50</v>
      </c>
      <c r="C3" s="1221"/>
      <c r="D3" s="1221" t="s">
        <v>63</v>
      </c>
      <c r="E3" s="1221"/>
      <c r="F3" s="1221" t="s">
        <v>52</v>
      </c>
      <c r="G3" s="1221"/>
      <c r="H3" s="1221" t="s">
        <v>64</v>
      </c>
      <c r="I3" s="1221"/>
      <c r="J3" s="1221" t="s">
        <v>111</v>
      </c>
      <c r="K3" s="1221"/>
      <c r="L3" s="1221" t="s">
        <v>54</v>
      </c>
      <c r="M3" s="1221"/>
      <c r="N3" s="1221" t="s">
        <v>115</v>
      </c>
      <c r="O3" s="1221"/>
      <c r="P3" s="261" t="s">
        <v>55</v>
      </c>
      <c r="Q3" s="386"/>
      <c r="R3" s="1222" t="s">
        <v>56</v>
      </c>
      <c r="S3" s="1222"/>
      <c r="T3" s="1222" t="s">
        <v>57</v>
      </c>
      <c r="U3" s="1222"/>
      <c r="V3" s="1221" t="s">
        <v>58</v>
      </c>
      <c r="W3" s="1221"/>
      <c r="X3" s="1222" t="s">
        <v>132</v>
      </c>
      <c r="Y3" s="1222"/>
      <c r="Z3" s="1222" t="s">
        <v>60</v>
      </c>
      <c r="AA3" s="1222"/>
      <c r="AB3" s="1222" t="s">
        <v>61</v>
      </c>
      <c r="AC3" s="1222"/>
      <c r="AD3" s="1222" t="s">
        <v>71</v>
      </c>
      <c r="AE3" s="1222"/>
      <c r="AF3" s="1223" t="s">
        <v>481</v>
      </c>
      <c r="AG3" s="1223"/>
      <c r="AH3" s="68"/>
      <c r="AI3" s="72"/>
      <c r="AJ3"/>
      <c r="AK3"/>
      <c r="AL3"/>
      <c r="AM3"/>
    </row>
    <row r="4" spans="1:39" s="218" customFormat="1" ht="19.5" customHeight="1" thickBot="1">
      <c r="A4" s="1164"/>
      <c r="B4" s="1080" t="s">
        <v>474</v>
      </c>
      <c r="C4" s="1081" t="s">
        <v>475</v>
      </c>
      <c r="D4" s="1080" t="s">
        <v>474</v>
      </c>
      <c r="E4" s="1081" t="s">
        <v>475</v>
      </c>
      <c r="F4" s="1080" t="s">
        <v>474</v>
      </c>
      <c r="G4" s="1081" t="s">
        <v>475</v>
      </c>
      <c r="H4" s="1080" t="s">
        <v>474</v>
      </c>
      <c r="I4" s="1081" t="s">
        <v>475</v>
      </c>
      <c r="J4" s="1080" t="s">
        <v>474</v>
      </c>
      <c r="K4" s="1081" t="s">
        <v>475</v>
      </c>
      <c r="L4" s="1080" t="s">
        <v>474</v>
      </c>
      <c r="M4" s="1081" t="s">
        <v>475</v>
      </c>
      <c r="N4" s="1080" t="s">
        <v>474</v>
      </c>
      <c r="O4" s="1081" t="s">
        <v>475</v>
      </c>
      <c r="P4" s="1080" t="s">
        <v>474</v>
      </c>
      <c r="Q4" s="1081" t="s">
        <v>475</v>
      </c>
      <c r="R4" s="1080" t="s">
        <v>474</v>
      </c>
      <c r="S4" s="1081" t="s">
        <v>475</v>
      </c>
      <c r="T4" s="1080" t="s">
        <v>474</v>
      </c>
      <c r="U4" s="1081" t="s">
        <v>475</v>
      </c>
      <c r="V4" s="1080" t="s">
        <v>474</v>
      </c>
      <c r="W4" s="1081" t="s">
        <v>475</v>
      </c>
      <c r="X4" s="1080" t="s">
        <v>474</v>
      </c>
      <c r="Y4" s="1081" t="s">
        <v>475</v>
      </c>
      <c r="Z4" s="1080" t="s">
        <v>474</v>
      </c>
      <c r="AA4" s="1081" t="s">
        <v>475</v>
      </c>
      <c r="AB4" s="1080" t="s">
        <v>474</v>
      </c>
      <c r="AC4" s="1081" t="s">
        <v>475</v>
      </c>
      <c r="AD4" s="1080" t="s">
        <v>474</v>
      </c>
      <c r="AE4" s="1081" t="s">
        <v>475</v>
      </c>
      <c r="AF4" s="1080" t="s">
        <v>474</v>
      </c>
      <c r="AG4" s="1081" t="s">
        <v>475</v>
      </c>
      <c r="AI4" s="219"/>
      <c r="AJ4"/>
      <c r="AK4"/>
      <c r="AL4"/>
      <c r="AM4"/>
    </row>
    <row r="5" spans="1:39" s="59" customFormat="1" ht="22.5" customHeight="1">
      <c r="A5" s="75" t="s">
        <v>480</v>
      </c>
      <c r="B5" s="60"/>
      <c r="C5" s="371"/>
      <c r="D5" s="61"/>
      <c r="E5" s="345"/>
      <c r="F5" s="62"/>
      <c r="G5" s="345"/>
      <c r="H5" s="62"/>
      <c r="I5" s="345"/>
      <c r="J5" s="62"/>
      <c r="K5" s="345"/>
      <c r="L5" s="62"/>
      <c r="M5" s="345"/>
      <c r="N5" s="62"/>
      <c r="O5" s="345"/>
      <c r="P5" s="62"/>
      <c r="Q5" s="345"/>
      <c r="R5" s="63"/>
      <c r="S5" s="345"/>
      <c r="T5" s="62"/>
      <c r="U5" s="345"/>
      <c r="V5" s="63"/>
      <c r="W5" s="345"/>
      <c r="X5" s="62"/>
      <c r="Y5" s="345"/>
      <c r="Z5" s="63"/>
      <c r="AA5" s="345"/>
      <c r="AB5" s="62"/>
      <c r="AC5" s="345"/>
      <c r="AD5" s="63"/>
      <c r="AE5" s="345"/>
      <c r="AF5" s="63"/>
      <c r="AG5" s="452"/>
      <c r="AH5" s="68"/>
      <c r="AI5" s="72"/>
      <c r="AJ5"/>
      <c r="AK5"/>
      <c r="AL5"/>
      <c r="AM5"/>
    </row>
    <row r="6" spans="1:39" s="142" customFormat="1" ht="21" customHeight="1">
      <c r="A6" s="1082" t="s">
        <v>476</v>
      </c>
      <c r="B6" s="391">
        <v>10</v>
      </c>
      <c r="C6" s="392">
        <v>756.8</v>
      </c>
      <c r="D6" s="391"/>
      <c r="E6" s="392"/>
      <c r="F6" s="391"/>
      <c r="G6" s="392"/>
      <c r="H6" s="391">
        <v>3</v>
      </c>
      <c r="I6" s="392">
        <v>192</v>
      </c>
      <c r="J6" s="391">
        <v>6</v>
      </c>
      <c r="K6" s="392">
        <v>279.6</v>
      </c>
      <c r="L6" s="391"/>
      <c r="M6" s="392"/>
      <c r="N6" s="391"/>
      <c r="O6" s="392"/>
      <c r="P6" s="391">
        <v>7</v>
      </c>
      <c r="Q6" s="392">
        <v>730.9</v>
      </c>
      <c r="R6" s="391"/>
      <c r="S6" s="392"/>
      <c r="T6" s="391"/>
      <c r="U6" s="392"/>
      <c r="V6" s="606">
        <v>39</v>
      </c>
      <c r="W6" s="392">
        <v>767.6</v>
      </c>
      <c r="X6" s="391"/>
      <c r="Y6" s="392"/>
      <c r="Z6" s="391"/>
      <c r="AA6" s="392"/>
      <c r="AB6" s="391"/>
      <c r="AC6" s="392"/>
      <c r="AD6" s="391"/>
      <c r="AE6" s="392"/>
      <c r="AF6" s="457">
        <v>65</v>
      </c>
      <c r="AG6" s="489">
        <v>2726.9</v>
      </c>
      <c r="AJ6"/>
      <c r="AK6"/>
      <c r="AL6"/>
      <c r="AM6"/>
    </row>
    <row r="7" spans="1:39" s="142" customFormat="1" ht="21" customHeight="1">
      <c r="A7" s="1082" t="s">
        <v>477</v>
      </c>
      <c r="B7" s="606">
        <v>23</v>
      </c>
      <c r="C7" s="392">
        <v>3421.8</v>
      </c>
      <c r="D7" s="606"/>
      <c r="E7" s="392">
        <v>261.6</v>
      </c>
      <c r="F7" s="606">
        <v>1</v>
      </c>
      <c r="G7" s="392">
        <v>128</v>
      </c>
      <c r="H7" s="391">
        <v>3</v>
      </c>
      <c r="I7" s="392">
        <v>146.9</v>
      </c>
      <c r="J7" s="391">
        <v>19</v>
      </c>
      <c r="K7" s="392">
        <v>1020.3</v>
      </c>
      <c r="L7" s="391">
        <v>4</v>
      </c>
      <c r="M7" s="392">
        <v>1432.5</v>
      </c>
      <c r="N7" s="391"/>
      <c r="O7" s="392">
        <v>284.9</v>
      </c>
      <c r="P7" s="391">
        <v>8</v>
      </c>
      <c r="Q7" s="392">
        <v>815.9</v>
      </c>
      <c r="R7" s="391"/>
      <c r="S7" s="392"/>
      <c r="T7" s="606">
        <v>0</v>
      </c>
      <c r="U7" s="392">
        <v>168.3</v>
      </c>
      <c r="V7" s="391">
        <v>10</v>
      </c>
      <c r="W7" s="392">
        <v>1030.6</v>
      </c>
      <c r="X7" s="606">
        <v>0</v>
      </c>
      <c r="Y7" s="392"/>
      <c r="Z7" s="391"/>
      <c r="AA7" s="392"/>
      <c r="AB7" s="606">
        <v>0</v>
      </c>
      <c r="AC7" s="392">
        <v>145.5</v>
      </c>
      <c r="AD7" s="391">
        <v>1</v>
      </c>
      <c r="AE7" s="392">
        <v>474.1</v>
      </c>
      <c r="AF7" s="457">
        <v>69</v>
      </c>
      <c r="AG7" s="489">
        <v>9330.4</v>
      </c>
      <c r="AJ7"/>
      <c r="AK7"/>
      <c r="AL7"/>
      <c r="AM7"/>
    </row>
    <row r="8" spans="1:39" s="142" customFormat="1" ht="21" customHeight="1">
      <c r="A8" s="1082" t="s">
        <v>478</v>
      </c>
      <c r="B8" s="391">
        <v>22</v>
      </c>
      <c r="C8" s="392">
        <v>2928.7</v>
      </c>
      <c r="D8" s="391"/>
      <c r="E8" s="392"/>
      <c r="F8" s="391"/>
      <c r="G8" s="392"/>
      <c r="H8" s="606">
        <v>1</v>
      </c>
      <c r="I8" s="392">
        <v>138.2</v>
      </c>
      <c r="J8" s="391">
        <v>7</v>
      </c>
      <c r="K8" s="392">
        <v>619.1</v>
      </c>
      <c r="L8" s="391">
        <v>4</v>
      </c>
      <c r="M8" s="392">
        <v>2159.1</v>
      </c>
      <c r="N8" s="391"/>
      <c r="O8" s="392"/>
      <c r="P8" s="391"/>
      <c r="Q8" s="392"/>
      <c r="R8" s="391">
        <v>1</v>
      </c>
      <c r="S8" s="392">
        <v>447</v>
      </c>
      <c r="T8" s="391"/>
      <c r="U8" s="392"/>
      <c r="V8" s="391">
        <v>5</v>
      </c>
      <c r="W8" s="392">
        <v>57.1</v>
      </c>
      <c r="X8" s="606">
        <v>0</v>
      </c>
      <c r="Y8" s="392">
        <v>135.4</v>
      </c>
      <c r="Z8" s="391"/>
      <c r="AA8" s="392"/>
      <c r="AB8" s="391"/>
      <c r="AC8" s="392"/>
      <c r="AD8" s="391">
        <v>1</v>
      </c>
      <c r="AE8" s="392">
        <v>45.5</v>
      </c>
      <c r="AF8" s="457">
        <v>41</v>
      </c>
      <c r="AG8" s="489">
        <v>6530.099999999999</v>
      </c>
      <c r="AJ8"/>
      <c r="AK8"/>
      <c r="AL8"/>
      <c r="AM8"/>
    </row>
    <row r="9" spans="1:39" s="240" customFormat="1" ht="21" customHeight="1">
      <c r="A9" s="1083" t="s">
        <v>479</v>
      </c>
      <c r="B9" s="596">
        <v>12</v>
      </c>
      <c r="C9" s="597">
        <v>2264.3</v>
      </c>
      <c r="D9" s="596"/>
      <c r="E9" s="597"/>
      <c r="F9" s="596"/>
      <c r="G9" s="597"/>
      <c r="H9" s="596">
        <v>8</v>
      </c>
      <c r="I9" s="597">
        <v>551</v>
      </c>
      <c r="J9" s="596">
        <v>6</v>
      </c>
      <c r="K9" s="597">
        <v>262.2</v>
      </c>
      <c r="L9" s="596">
        <v>2</v>
      </c>
      <c r="M9" s="597">
        <v>1968.9</v>
      </c>
      <c r="N9" s="596"/>
      <c r="O9" s="597"/>
      <c r="P9" s="596">
        <v>4</v>
      </c>
      <c r="Q9" s="597">
        <v>412.3</v>
      </c>
      <c r="R9" s="596"/>
      <c r="S9" s="597"/>
      <c r="T9" s="596"/>
      <c r="U9" s="597"/>
      <c r="V9" s="596">
        <v>1</v>
      </c>
      <c r="W9" s="597">
        <v>3.8</v>
      </c>
      <c r="X9" s="596"/>
      <c r="Y9" s="597"/>
      <c r="Z9" s="596"/>
      <c r="AA9" s="597"/>
      <c r="AB9" s="596"/>
      <c r="AC9" s="597"/>
      <c r="AD9" s="596"/>
      <c r="AE9" s="597"/>
      <c r="AF9" s="598">
        <v>33</v>
      </c>
      <c r="AG9" s="490">
        <v>5462.5</v>
      </c>
      <c r="AJ9" s="256"/>
      <c r="AK9" s="256"/>
      <c r="AL9" s="256"/>
      <c r="AM9" s="256"/>
    </row>
    <row r="10" spans="1:39" s="76" customFormat="1" ht="21" customHeight="1">
      <c r="A10" s="112" t="s">
        <v>553</v>
      </c>
      <c r="B10" s="391"/>
      <c r="C10" s="392"/>
      <c r="D10" s="391"/>
      <c r="E10" s="392"/>
      <c r="F10" s="391"/>
      <c r="G10" s="392"/>
      <c r="H10" s="391"/>
      <c r="I10" s="392"/>
      <c r="J10" s="391"/>
      <c r="K10" s="392"/>
      <c r="L10" s="391"/>
      <c r="M10" s="392"/>
      <c r="N10" s="391"/>
      <c r="O10" s="392"/>
      <c r="P10" s="391"/>
      <c r="Q10" s="392"/>
      <c r="R10" s="391"/>
      <c r="S10" s="392"/>
      <c r="T10" s="391"/>
      <c r="U10" s="392"/>
      <c r="V10" s="391"/>
      <c r="W10" s="392"/>
      <c r="X10" s="391"/>
      <c r="Y10" s="392"/>
      <c r="Z10" s="391"/>
      <c r="AA10" s="392"/>
      <c r="AB10" s="391"/>
      <c r="AC10" s="392"/>
      <c r="AD10" s="391"/>
      <c r="AE10" s="392"/>
      <c r="AF10" s="457"/>
      <c r="AG10" s="355"/>
      <c r="AJ10" s="184"/>
      <c r="AK10" s="184"/>
      <c r="AL10" s="184"/>
      <c r="AM10" s="184"/>
    </row>
    <row r="11" spans="1:39" s="76" customFormat="1" ht="21" customHeight="1">
      <c r="A11" s="112" t="s">
        <v>73</v>
      </c>
      <c r="B11" s="391"/>
      <c r="C11" s="392"/>
      <c r="D11" s="391"/>
      <c r="E11" s="392"/>
      <c r="F11" s="391"/>
      <c r="G11" s="392"/>
      <c r="H11" s="391"/>
      <c r="I11" s="392"/>
      <c r="J11" s="391"/>
      <c r="K11" s="392"/>
      <c r="L11" s="391"/>
      <c r="M11" s="392"/>
      <c r="N11" s="391"/>
      <c r="O11" s="392"/>
      <c r="P11" s="391"/>
      <c r="Q11" s="392"/>
      <c r="R11" s="391"/>
      <c r="S11" s="392"/>
      <c r="T11" s="391"/>
      <c r="U11" s="392"/>
      <c r="V11" s="391">
        <v>1</v>
      </c>
      <c r="W11" s="392">
        <v>3.8</v>
      </c>
      <c r="X11" s="391"/>
      <c r="Y11" s="392"/>
      <c r="Z11" s="391"/>
      <c r="AA11" s="392"/>
      <c r="AB11" s="391"/>
      <c r="AC11" s="392"/>
      <c r="AD11" s="391"/>
      <c r="AE11" s="392"/>
      <c r="AF11" s="457">
        <v>1</v>
      </c>
      <c r="AG11" s="489">
        <v>3.8</v>
      </c>
      <c r="AJ11" s="184"/>
      <c r="AK11" s="184"/>
      <c r="AL11" s="184"/>
      <c r="AM11" s="184"/>
    </row>
    <row r="12" spans="1:39" s="76" customFormat="1" ht="21" customHeight="1">
      <c r="A12" s="171" t="s">
        <v>69</v>
      </c>
      <c r="B12" s="596"/>
      <c r="C12" s="597"/>
      <c r="D12" s="596"/>
      <c r="E12" s="597"/>
      <c r="F12" s="596"/>
      <c r="G12" s="597"/>
      <c r="H12" s="596"/>
      <c r="I12" s="597"/>
      <c r="J12" s="596">
        <v>1</v>
      </c>
      <c r="K12" s="597">
        <v>104.7</v>
      </c>
      <c r="L12" s="596"/>
      <c r="M12" s="597"/>
      <c r="N12" s="596"/>
      <c r="O12" s="597"/>
      <c r="P12" s="596"/>
      <c r="Q12" s="597"/>
      <c r="R12" s="596"/>
      <c r="S12" s="597"/>
      <c r="T12" s="596"/>
      <c r="U12" s="597"/>
      <c r="V12" s="596"/>
      <c r="W12" s="597"/>
      <c r="X12" s="596"/>
      <c r="Y12" s="597"/>
      <c r="Z12" s="596"/>
      <c r="AA12" s="597"/>
      <c r="AB12" s="596"/>
      <c r="AC12" s="597"/>
      <c r="AD12" s="596"/>
      <c r="AE12" s="597"/>
      <c r="AF12" s="598">
        <v>1</v>
      </c>
      <c r="AG12" s="490">
        <v>104.7</v>
      </c>
      <c r="AJ12" s="184"/>
      <c r="AK12" s="184"/>
      <c r="AL12" s="184"/>
      <c r="AM12" s="184"/>
    </row>
    <row r="13" spans="1:39" s="59" customFormat="1" ht="22.5" customHeight="1" thickBot="1">
      <c r="A13" s="152" t="s">
        <v>554</v>
      </c>
      <c r="B13" s="593">
        <v>2</v>
      </c>
      <c r="C13" s="594">
        <v>58.2</v>
      </c>
      <c r="D13" s="593"/>
      <c r="E13" s="595"/>
      <c r="F13" s="593"/>
      <c r="G13" s="594"/>
      <c r="H13" s="593">
        <v>5</v>
      </c>
      <c r="I13" s="594">
        <v>231.3</v>
      </c>
      <c r="J13" s="593">
        <v>3</v>
      </c>
      <c r="K13" s="594">
        <v>58.7</v>
      </c>
      <c r="L13" s="593">
        <v>2</v>
      </c>
      <c r="M13" s="594">
        <v>263.2</v>
      </c>
      <c r="N13" s="593"/>
      <c r="O13" s="594"/>
      <c r="P13" s="593">
        <v>3</v>
      </c>
      <c r="Q13" s="594">
        <v>241.1</v>
      </c>
      <c r="R13" s="593"/>
      <c r="S13" s="594"/>
      <c r="T13" s="593"/>
      <c r="U13" s="594"/>
      <c r="V13" s="593">
        <v>7</v>
      </c>
      <c r="W13" s="594">
        <v>78.6</v>
      </c>
      <c r="X13" s="593"/>
      <c r="Y13" s="594"/>
      <c r="Z13" s="593"/>
      <c r="AA13" s="594"/>
      <c r="AB13" s="593"/>
      <c r="AC13" s="594"/>
      <c r="AD13" s="593"/>
      <c r="AE13" s="594"/>
      <c r="AF13" s="591">
        <v>22</v>
      </c>
      <c r="AG13" s="592">
        <v>931.1</v>
      </c>
      <c r="AH13" s="68"/>
      <c r="AI13" s="72"/>
      <c r="AJ13"/>
      <c r="AK13"/>
      <c r="AL13"/>
      <c r="AM13"/>
    </row>
    <row r="14" spans="1:39" s="59" customFormat="1" ht="23.25" customHeight="1" thickBot="1">
      <c r="A14" s="95" t="s">
        <v>481</v>
      </c>
      <c r="B14" s="152">
        <f aca="true" t="shared" si="0" ref="B14:AG14">SUM(B6:B13)</f>
        <v>69</v>
      </c>
      <c r="C14" s="372">
        <f t="shared" si="0"/>
        <v>9429.800000000001</v>
      </c>
      <c r="D14" s="152">
        <f t="shared" si="0"/>
        <v>0</v>
      </c>
      <c r="E14" s="372">
        <f t="shared" si="0"/>
        <v>261.6</v>
      </c>
      <c r="F14" s="152">
        <f t="shared" si="0"/>
        <v>1</v>
      </c>
      <c r="G14" s="372">
        <f t="shared" si="0"/>
        <v>128</v>
      </c>
      <c r="H14" s="152">
        <f t="shared" si="0"/>
        <v>20</v>
      </c>
      <c r="I14" s="372">
        <f t="shared" si="0"/>
        <v>1259.3999999999999</v>
      </c>
      <c r="J14" s="152">
        <f>SUM(J6:J13)</f>
        <v>42</v>
      </c>
      <c r="K14" s="372">
        <f>SUM(K6:K13)</f>
        <v>2344.5999999999995</v>
      </c>
      <c r="L14" s="152">
        <f t="shared" si="0"/>
        <v>12</v>
      </c>
      <c r="M14" s="372">
        <f t="shared" si="0"/>
        <v>5823.7</v>
      </c>
      <c r="N14" s="152">
        <f t="shared" si="0"/>
        <v>0</v>
      </c>
      <c r="O14" s="372">
        <f t="shared" si="0"/>
        <v>284.9</v>
      </c>
      <c r="P14" s="152">
        <f t="shared" si="0"/>
        <v>22</v>
      </c>
      <c r="Q14" s="372">
        <f t="shared" si="0"/>
        <v>2200.2</v>
      </c>
      <c r="R14" s="152">
        <f t="shared" si="0"/>
        <v>1</v>
      </c>
      <c r="S14" s="372">
        <f t="shared" si="0"/>
        <v>447</v>
      </c>
      <c r="T14" s="152">
        <f t="shared" si="0"/>
        <v>0</v>
      </c>
      <c r="U14" s="372">
        <f t="shared" si="0"/>
        <v>168.3</v>
      </c>
      <c r="V14" s="152">
        <f t="shared" si="0"/>
        <v>63</v>
      </c>
      <c r="W14" s="372">
        <f t="shared" si="0"/>
        <v>1941.4999999999995</v>
      </c>
      <c r="X14" s="152">
        <f t="shared" si="0"/>
        <v>0</v>
      </c>
      <c r="Y14" s="372">
        <f t="shared" si="0"/>
        <v>135.4</v>
      </c>
      <c r="Z14" s="152">
        <f t="shared" si="0"/>
        <v>0</v>
      </c>
      <c r="AA14" s="372">
        <f t="shared" si="0"/>
        <v>0</v>
      </c>
      <c r="AB14" s="152">
        <f t="shared" si="0"/>
        <v>0</v>
      </c>
      <c r="AC14" s="372">
        <f t="shared" si="0"/>
        <v>145.5</v>
      </c>
      <c r="AD14" s="152">
        <f t="shared" si="0"/>
        <v>2</v>
      </c>
      <c r="AE14" s="372">
        <f t="shared" si="0"/>
        <v>519.6</v>
      </c>
      <c r="AF14" s="152">
        <f t="shared" si="0"/>
        <v>232</v>
      </c>
      <c r="AG14" s="453">
        <f t="shared" si="0"/>
        <v>25089.499999999996</v>
      </c>
      <c r="AH14" s="68"/>
      <c r="AI14" s="72"/>
      <c r="AJ14"/>
      <c r="AK14"/>
      <c r="AL14"/>
      <c r="AM14"/>
    </row>
    <row r="15" spans="1:39" s="59" customFormat="1" ht="23.25" customHeight="1">
      <c r="A15" s="93"/>
      <c r="B15" s="112"/>
      <c r="C15" s="768"/>
      <c r="D15" s="112"/>
      <c r="E15" s="768"/>
      <c r="F15" s="112"/>
      <c r="G15" s="768"/>
      <c r="H15" s="112"/>
      <c r="I15" s="768"/>
      <c r="J15" s="112"/>
      <c r="K15" s="768"/>
      <c r="L15" s="112"/>
      <c r="M15" s="768"/>
      <c r="N15" s="112"/>
      <c r="O15" s="768"/>
      <c r="P15" s="112"/>
      <c r="Q15" s="768"/>
      <c r="R15" s="112"/>
      <c r="S15" s="768"/>
      <c r="T15" s="112"/>
      <c r="U15" s="768"/>
      <c r="V15" s="112"/>
      <c r="W15" s="768"/>
      <c r="X15" s="112"/>
      <c r="Y15" s="768"/>
      <c r="Z15" s="112"/>
      <c r="AA15" s="768"/>
      <c r="AB15" s="112"/>
      <c r="AC15" s="768"/>
      <c r="AD15" s="112"/>
      <c r="AE15" s="768"/>
      <c r="AF15" s="112"/>
      <c r="AG15" s="379"/>
      <c r="AH15" s="68"/>
      <c r="AI15" s="72"/>
      <c r="AJ15"/>
      <c r="AK15"/>
      <c r="AL15"/>
      <c r="AM15"/>
    </row>
    <row r="16" spans="1:38" s="59" customFormat="1" ht="18.75" customHeight="1">
      <c r="A16" s="112"/>
      <c r="B16" s="67"/>
      <c r="C16" s="373"/>
      <c r="D16" s="93"/>
      <c r="E16" s="383"/>
      <c r="F16" s="93"/>
      <c r="G16" s="383"/>
      <c r="H16" s="155"/>
      <c r="I16" s="383"/>
      <c r="J16" s="155"/>
      <c r="K16" s="383"/>
      <c r="L16" s="155"/>
      <c r="M16" s="383"/>
      <c r="N16" s="93"/>
      <c r="O16" s="383"/>
      <c r="P16" s="155"/>
      <c r="Q16" s="383"/>
      <c r="R16" s="156"/>
      <c r="S16" s="354"/>
      <c r="T16" s="156"/>
      <c r="U16" s="354"/>
      <c r="V16" s="156"/>
      <c r="W16" s="354"/>
      <c r="X16" s="156"/>
      <c r="Y16" s="354"/>
      <c r="Z16" s="156"/>
      <c r="AA16" s="354"/>
      <c r="AB16" s="156"/>
      <c r="AC16" s="354"/>
      <c r="AD16" s="156"/>
      <c r="AE16" s="354"/>
      <c r="AF16" s="156"/>
      <c r="AG16" s="379"/>
      <c r="AH16" s="68"/>
      <c r="AI16" s="72"/>
      <c r="AK16" s="141"/>
      <c r="AL16" s="68"/>
    </row>
    <row r="17" spans="1:52" s="59" customFormat="1" ht="21.75" customHeight="1" thickBot="1">
      <c r="A17" s="238" t="s">
        <v>464</v>
      </c>
      <c r="B17" s="207"/>
      <c r="C17" s="370"/>
      <c r="D17"/>
      <c r="E17" s="325"/>
      <c r="F17"/>
      <c r="G17" s="325"/>
      <c r="H17"/>
      <c r="I17" s="325"/>
      <c r="J17"/>
      <c r="K17" s="325"/>
      <c r="L17"/>
      <c r="M17" s="325"/>
      <c r="N17"/>
      <c r="O17" s="325"/>
      <c r="P17"/>
      <c r="Q17" s="325"/>
      <c r="R17"/>
      <c r="S17" s="325"/>
      <c r="T17"/>
      <c r="U17" s="325"/>
      <c r="V17"/>
      <c r="W17" s="325"/>
      <c r="X17"/>
      <c r="Y17" s="325"/>
      <c r="Z17"/>
      <c r="AA17" s="325"/>
      <c r="AB17"/>
      <c r="AC17" s="325"/>
      <c r="AD17"/>
      <c r="AE17" s="325"/>
      <c r="AF17"/>
      <c r="AG17" s="1123" t="s">
        <v>483</v>
      </c>
      <c r="AH17"/>
      <c r="AI17"/>
      <c r="AJ17"/>
      <c r="AK17"/>
      <c r="AL17"/>
      <c r="AM17"/>
      <c r="AN17"/>
      <c r="AO17"/>
      <c r="AP17"/>
      <c r="AQ17"/>
      <c r="AR17"/>
      <c r="AS17"/>
      <c r="AT17"/>
      <c r="AU17"/>
      <c r="AV17" s="68"/>
      <c r="AW17" s="72"/>
      <c r="AY17" s="141"/>
      <c r="AZ17" s="68"/>
    </row>
    <row r="18" spans="1:39" s="59" customFormat="1" ht="71.25" customHeight="1">
      <c r="A18" s="1163" t="s">
        <v>473</v>
      </c>
      <c r="B18" s="1221" t="s">
        <v>50</v>
      </c>
      <c r="C18" s="1221"/>
      <c r="D18" s="1221" t="s">
        <v>63</v>
      </c>
      <c r="E18" s="1221"/>
      <c r="F18" s="1221" t="s">
        <v>52</v>
      </c>
      <c r="G18" s="1221"/>
      <c r="H18" s="1221" t="s">
        <v>64</v>
      </c>
      <c r="I18" s="1221"/>
      <c r="J18" s="1221" t="s">
        <v>111</v>
      </c>
      <c r="K18" s="1221"/>
      <c r="L18" s="1221" t="s">
        <v>54</v>
      </c>
      <c r="M18" s="1221"/>
      <c r="N18" s="1221" t="s">
        <v>115</v>
      </c>
      <c r="O18" s="1221"/>
      <c r="P18" s="261" t="s">
        <v>55</v>
      </c>
      <c r="Q18" s="386"/>
      <c r="R18" s="1222" t="s">
        <v>56</v>
      </c>
      <c r="S18" s="1222"/>
      <c r="T18" s="1222" t="s">
        <v>57</v>
      </c>
      <c r="U18" s="1222"/>
      <c r="V18" s="1221" t="s">
        <v>58</v>
      </c>
      <c r="W18" s="1221"/>
      <c r="X18" s="1222" t="s">
        <v>132</v>
      </c>
      <c r="Y18" s="1222"/>
      <c r="Z18" s="1222" t="s">
        <v>60</v>
      </c>
      <c r="AA18" s="1222"/>
      <c r="AB18" s="1222" t="s">
        <v>61</v>
      </c>
      <c r="AC18" s="1222"/>
      <c r="AD18" s="1222" t="s">
        <v>71</v>
      </c>
      <c r="AE18" s="1222"/>
      <c r="AF18" s="1223" t="s">
        <v>49</v>
      </c>
      <c r="AG18" s="1223"/>
      <c r="AH18" s="68"/>
      <c r="AI18" s="72"/>
      <c r="AJ18"/>
      <c r="AK18"/>
      <c r="AL18"/>
      <c r="AM18"/>
    </row>
    <row r="19" spans="1:39" s="218" customFormat="1" ht="19.5" customHeight="1" thickBot="1">
      <c r="A19" s="1164"/>
      <c r="B19" s="1080" t="s">
        <v>474</v>
      </c>
      <c r="C19" s="1081" t="s">
        <v>475</v>
      </c>
      <c r="D19" s="1080" t="s">
        <v>474</v>
      </c>
      <c r="E19" s="1081" t="s">
        <v>475</v>
      </c>
      <c r="F19" s="1080" t="s">
        <v>474</v>
      </c>
      <c r="G19" s="1081" t="s">
        <v>475</v>
      </c>
      <c r="H19" s="1080" t="s">
        <v>474</v>
      </c>
      <c r="I19" s="1081" t="s">
        <v>475</v>
      </c>
      <c r="J19" s="1080" t="s">
        <v>474</v>
      </c>
      <c r="K19" s="1081" t="s">
        <v>475</v>
      </c>
      <c r="L19" s="1080" t="s">
        <v>474</v>
      </c>
      <c r="M19" s="1081" t="s">
        <v>475</v>
      </c>
      <c r="N19" s="1080" t="s">
        <v>474</v>
      </c>
      <c r="O19" s="1081" t="s">
        <v>475</v>
      </c>
      <c r="P19" s="1080" t="s">
        <v>474</v>
      </c>
      <c r="Q19" s="1081" t="s">
        <v>475</v>
      </c>
      <c r="R19" s="1080" t="s">
        <v>474</v>
      </c>
      <c r="S19" s="1081" t="s">
        <v>475</v>
      </c>
      <c r="T19" s="1080" t="s">
        <v>474</v>
      </c>
      <c r="U19" s="1081" t="s">
        <v>475</v>
      </c>
      <c r="V19" s="1080" t="s">
        <v>474</v>
      </c>
      <c r="W19" s="1081" t="s">
        <v>475</v>
      </c>
      <c r="X19" s="1080" t="s">
        <v>474</v>
      </c>
      <c r="Y19" s="1081" t="s">
        <v>475</v>
      </c>
      <c r="Z19" s="1080" t="s">
        <v>474</v>
      </c>
      <c r="AA19" s="1081" t="s">
        <v>475</v>
      </c>
      <c r="AB19" s="1080" t="s">
        <v>474</v>
      </c>
      <c r="AC19" s="1081" t="s">
        <v>475</v>
      </c>
      <c r="AD19" s="1080" t="s">
        <v>474</v>
      </c>
      <c r="AE19" s="1081" t="s">
        <v>475</v>
      </c>
      <c r="AF19" s="1080" t="s">
        <v>474</v>
      </c>
      <c r="AG19" s="1081" t="s">
        <v>475</v>
      </c>
      <c r="AI19" s="219"/>
      <c r="AJ19"/>
      <c r="AK19"/>
      <c r="AL19"/>
      <c r="AM19"/>
    </row>
    <row r="20" spans="1:39" s="59" customFormat="1" ht="22.5" customHeight="1">
      <c r="A20" s="75" t="s">
        <v>480</v>
      </c>
      <c r="B20" s="60"/>
      <c r="C20" s="371"/>
      <c r="D20" s="61"/>
      <c r="E20" s="345"/>
      <c r="F20" s="62"/>
      <c r="G20" s="345"/>
      <c r="H20" s="62"/>
      <c r="I20" s="345"/>
      <c r="J20" s="62"/>
      <c r="K20" s="345"/>
      <c r="L20" s="62"/>
      <c r="M20" s="345"/>
      <c r="N20" s="62"/>
      <c r="O20" s="345"/>
      <c r="P20" s="62"/>
      <c r="Q20" s="345"/>
      <c r="R20" s="63"/>
      <c r="S20" s="345"/>
      <c r="T20" s="62"/>
      <c r="U20" s="345"/>
      <c r="V20" s="63"/>
      <c r="W20" s="345"/>
      <c r="X20" s="62"/>
      <c r="Y20" s="345"/>
      <c r="Z20" s="63"/>
      <c r="AA20" s="345"/>
      <c r="AB20" s="62"/>
      <c r="AC20" s="345"/>
      <c r="AD20" s="63"/>
      <c r="AE20" s="345"/>
      <c r="AF20" s="63"/>
      <c r="AG20" s="452"/>
      <c r="AH20" s="68"/>
      <c r="AI20" s="72"/>
      <c r="AJ20"/>
      <c r="AK20"/>
      <c r="AL20"/>
      <c r="AM20"/>
    </row>
    <row r="21" spans="1:39" s="142" customFormat="1" ht="21" customHeight="1">
      <c r="A21" s="1082" t="s">
        <v>476</v>
      </c>
      <c r="B21" s="391">
        <v>3</v>
      </c>
      <c r="C21" s="392">
        <v>313.5</v>
      </c>
      <c r="D21" s="391"/>
      <c r="E21" s="392"/>
      <c r="F21" s="391"/>
      <c r="G21" s="392"/>
      <c r="H21" s="391"/>
      <c r="I21" s="392"/>
      <c r="J21" s="391"/>
      <c r="K21" s="392"/>
      <c r="L21" s="391"/>
      <c r="M21" s="392"/>
      <c r="N21" s="391"/>
      <c r="O21" s="392"/>
      <c r="P21" s="391">
        <v>4</v>
      </c>
      <c r="Q21" s="392">
        <v>356.2</v>
      </c>
      <c r="R21" s="391"/>
      <c r="S21" s="392"/>
      <c r="T21" s="391">
        <v>4</v>
      </c>
      <c r="U21" s="392">
        <v>233.4</v>
      </c>
      <c r="V21" s="391"/>
      <c r="W21" s="392"/>
      <c r="X21" s="391"/>
      <c r="Y21" s="392"/>
      <c r="Z21" s="391"/>
      <c r="AA21" s="392"/>
      <c r="AB21" s="391"/>
      <c r="AC21" s="392"/>
      <c r="AD21" s="391"/>
      <c r="AE21" s="392"/>
      <c r="AF21" s="457">
        <v>11</v>
      </c>
      <c r="AG21" s="489">
        <v>903.1</v>
      </c>
      <c r="AJ21"/>
      <c r="AK21"/>
      <c r="AL21"/>
      <c r="AM21"/>
    </row>
    <row r="22" spans="1:39" s="142" customFormat="1" ht="21" customHeight="1">
      <c r="A22" s="1082" t="s">
        <v>477</v>
      </c>
      <c r="B22" s="391">
        <v>4</v>
      </c>
      <c r="C22" s="392">
        <v>419.2</v>
      </c>
      <c r="D22" s="391"/>
      <c r="E22" s="392"/>
      <c r="F22" s="391"/>
      <c r="G22" s="392"/>
      <c r="H22" s="391"/>
      <c r="I22" s="392"/>
      <c r="J22" s="391"/>
      <c r="K22" s="392"/>
      <c r="L22" s="391"/>
      <c r="M22" s="392"/>
      <c r="N22" s="391"/>
      <c r="O22" s="392"/>
      <c r="P22" s="391">
        <v>3</v>
      </c>
      <c r="Q22" s="392">
        <v>268.1</v>
      </c>
      <c r="R22" s="391"/>
      <c r="S22" s="392"/>
      <c r="T22" s="391">
        <v>5</v>
      </c>
      <c r="U22" s="392">
        <v>306.4</v>
      </c>
      <c r="V22" s="391"/>
      <c r="W22" s="392"/>
      <c r="X22" s="391"/>
      <c r="Y22" s="392"/>
      <c r="Z22" s="391"/>
      <c r="AA22" s="392"/>
      <c r="AB22" s="391"/>
      <c r="AC22" s="392"/>
      <c r="AD22" s="391"/>
      <c r="AE22" s="392"/>
      <c r="AF22" s="457">
        <v>12</v>
      </c>
      <c r="AG22" s="489">
        <v>993.6999999999999</v>
      </c>
      <c r="AJ22"/>
      <c r="AK22"/>
      <c r="AL22"/>
      <c r="AM22"/>
    </row>
    <row r="23" spans="1:39" s="142" customFormat="1" ht="21" customHeight="1">
      <c r="A23" s="1082" t="s">
        <v>478</v>
      </c>
      <c r="B23" s="391">
        <v>4</v>
      </c>
      <c r="C23" s="392">
        <v>412.4</v>
      </c>
      <c r="D23" s="391"/>
      <c r="E23" s="392"/>
      <c r="F23" s="391"/>
      <c r="G23" s="392"/>
      <c r="H23" s="391"/>
      <c r="I23" s="392"/>
      <c r="J23" s="391"/>
      <c r="K23" s="392"/>
      <c r="L23" s="391"/>
      <c r="M23" s="392"/>
      <c r="N23" s="391"/>
      <c r="O23" s="392"/>
      <c r="P23" s="391"/>
      <c r="Q23" s="392"/>
      <c r="R23" s="391"/>
      <c r="S23" s="392"/>
      <c r="T23" s="391">
        <v>5</v>
      </c>
      <c r="U23" s="392">
        <v>279.5</v>
      </c>
      <c r="V23" s="391"/>
      <c r="W23" s="392"/>
      <c r="X23" s="391"/>
      <c r="Y23" s="392"/>
      <c r="Z23" s="391"/>
      <c r="AA23" s="392"/>
      <c r="AB23" s="391"/>
      <c r="AC23" s="392"/>
      <c r="AD23" s="391"/>
      <c r="AE23" s="392"/>
      <c r="AF23" s="457">
        <v>9</v>
      </c>
      <c r="AG23" s="489">
        <v>691.9</v>
      </c>
      <c r="AJ23"/>
      <c r="AK23"/>
      <c r="AL23"/>
      <c r="AM23"/>
    </row>
    <row r="24" spans="1:39" s="240" customFormat="1" ht="21" customHeight="1">
      <c r="A24" s="1083" t="s">
        <v>479</v>
      </c>
      <c r="B24" s="596"/>
      <c r="C24" s="597"/>
      <c r="D24" s="596"/>
      <c r="E24" s="597"/>
      <c r="F24" s="596"/>
      <c r="G24" s="597"/>
      <c r="H24" s="596"/>
      <c r="I24" s="597"/>
      <c r="J24" s="596"/>
      <c r="K24" s="597"/>
      <c r="L24" s="596"/>
      <c r="M24" s="597"/>
      <c r="N24" s="596"/>
      <c r="O24" s="597"/>
      <c r="P24" s="596">
        <v>2</v>
      </c>
      <c r="Q24" s="597">
        <v>182.6</v>
      </c>
      <c r="R24" s="596"/>
      <c r="S24" s="597"/>
      <c r="T24" s="596">
        <v>5</v>
      </c>
      <c r="U24" s="597">
        <v>305.5</v>
      </c>
      <c r="V24" s="596"/>
      <c r="W24" s="597"/>
      <c r="X24" s="596"/>
      <c r="Y24" s="597"/>
      <c r="Z24" s="596"/>
      <c r="AA24" s="597"/>
      <c r="AB24" s="596"/>
      <c r="AC24" s="597"/>
      <c r="AD24" s="596"/>
      <c r="AE24" s="597"/>
      <c r="AF24" s="598">
        <v>7</v>
      </c>
      <c r="AG24" s="490">
        <v>488.1</v>
      </c>
      <c r="AJ24" s="256"/>
      <c r="AK24" s="256"/>
      <c r="AL24" s="256"/>
      <c r="AM24" s="256"/>
    </row>
    <row r="25" spans="1:39" s="76" customFormat="1" ht="21" customHeight="1">
      <c r="A25" s="1100" t="s">
        <v>492</v>
      </c>
      <c r="B25" s="391"/>
      <c r="C25" s="392"/>
      <c r="D25" s="391"/>
      <c r="E25" s="392"/>
      <c r="F25" s="391"/>
      <c r="G25" s="392"/>
      <c r="H25" s="391"/>
      <c r="I25" s="392"/>
      <c r="J25" s="391"/>
      <c r="K25" s="392"/>
      <c r="L25" s="391"/>
      <c r="M25" s="392"/>
      <c r="N25" s="391"/>
      <c r="O25" s="392"/>
      <c r="P25" s="391"/>
      <c r="Q25" s="392"/>
      <c r="R25" s="391"/>
      <c r="S25" s="392"/>
      <c r="T25" s="391"/>
      <c r="U25" s="392"/>
      <c r="V25" s="391"/>
      <c r="W25" s="392"/>
      <c r="X25" s="391"/>
      <c r="Y25" s="392"/>
      <c r="Z25" s="391"/>
      <c r="AA25" s="392"/>
      <c r="AB25" s="391"/>
      <c r="AC25" s="392"/>
      <c r="AD25" s="391"/>
      <c r="AE25" s="392"/>
      <c r="AF25" s="457"/>
      <c r="AG25" s="489"/>
      <c r="AJ25" s="184"/>
      <c r="AK25" s="184"/>
      <c r="AL25" s="184"/>
      <c r="AM25" s="184"/>
    </row>
    <row r="26" spans="1:39" s="76" customFormat="1" ht="21" customHeight="1">
      <c r="A26" s="171" t="s">
        <v>94</v>
      </c>
      <c r="B26" s="596"/>
      <c r="C26" s="597"/>
      <c r="D26" s="596"/>
      <c r="E26" s="597"/>
      <c r="F26" s="596"/>
      <c r="G26" s="597"/>
      <c r="H26" s="596"/>
      <c r="I26" s="597"/>
      <c r="J26" s="596"/>
      <c r="K26" s="597"/>
      <c r="L26" s="596"/>
      <c r="M26" s="597"/>
      <c r="N26" s="596"/>
      <c r="O26" s="597"/>
      <c r="P26" s="596"/>
      <c r="Q26" s="597"/>
      <c r="R26" s="596"/>
      <c r="S26" s="597"/>
      <c r="T26" s="596">
        <v>12</v>
      </c>
      <c r="U26" s="597">
        <v>125.2</v>
      </c>
      <c r="V26" s="596"/>
      <c r="W26" s="597"/>
      <c r="X26" s="596"/>
      <c r="Y26" s="597"/>
      <c r="Z26" s="596"/>
      <c r="AA26" s="597"/>
      <c r="AB26" s="596"/>
      <c r="AC26" s="597"/>
      <c r="AD26" s="596"/>
      <c r="AE26" s="597"/>
      <c r="AF26" s="598">
        <v>12</v>
      </c>
      <c r="AG26" s="490">
        <v>125.2</v>
      </c>
      <c r="AJ26" s="184"/>
      <c r="AK26" s="184"/>
      <c r="AL26" s="184"/>
      <c r="AM26" s="184"/>
    </row>
    <row r="27" spans="1:39" s="59" customFormat="1" ht="22.5" customHeight="1" thickBot="1">
      <c r="A27" s="152" t="s">
        <v>554</v>
      </c>
      <c r="B27" s="593">
        <v>2</v>
      </c>
      <c r="C27" s="594">
        <v>185.6</v>
      </c>
      <c r="D27" s="593"/>
      <c r="E27" s="595"/>
      <c r="F27" s="593"/>
      <c r="G27" s="594"/>
      <c r="H27" s="593"/>
      <c r="I27" s="594"/>
      <c r="J27" s="593"/>
      <c r="K27" s="594"/>
      <c r="L27" s="593"/>
      <c r="M27" s="594"/>
      <c r="N27" s="593"/>
      <c r="O27" s="594"/>
      <c r="P27" s="593">
        <v>4</v>
      </c>
      <c r="Q27" s="594">
        <v>250.9</v>
      </c>
      <c r="R27" s="593"/>
      <c r="S27" s="594"/>
      <c r="T27" s="593"/>
      <c r="U27" s="594">
        <v>803.3</v>
      </c>
      <c r="V27" s="593"/>
      <c r="W27" s="594"/>
      <c r="X27" s="593"/>
      <c r="Y27" s="594"/>
      <c r="Z27" s="593"/>
      <c r="AA27" s="594"/>
      <c r="AB27" s="593"/>
      <c r="AC27" s="594"/>
      <c r="AD27" s="593"/>
      <c r="AE27" s="594"/>
      <c r="AF27" s="591">
        <v>6</v>
      </c>
      <c r="AG27" s="1079">
        <v>1239.8</v>
      </c>
      <c r="AH27" s="68"/>
      <c r="AI27" s="72"/>
      <c r="AJ27"/>
      <c r="AK27"/>
      <c r="AL27"/>
      <c r="AM27"/>
    </row>
    <row r="28" spans="1:39" s="59" customFormat="1" ht="23.25" customHeight="1" thickBot="1">
      <c r="A28" s="95" t="s">
        <v>481</v>
      </c>
      <c r="B28" s="152">
        <f>SUM(B21:B27)</f>
        <v>13</v>
      </c>
      <c r="C28" s="372">
        <f>SUM(C21:C27)</f>
        <v>1330.6999999999998</v>
      </c>
      <c r="D28" s="152"/>
      <c r="E28" s="372"/>
      <c r="F28" s="152"/>
      <c r="G28" s="372"/>
      <c r="H28" s="152"/>
      <c r="I28" s="372"/>
      <c r="J28" s="152"/>
      <c r="K28" s="372"/>
      <c r="L28" s="152"/>
      <c r="M28" s="372"/>
      <c r="N28" s="152"/>
      <c r="O28" s="372"/>
      <c r="P28" s="152">
        <f>SUM(P21:P27)</f>
        <v>13</v>
      </c>
      <c r="Q28" s="372">
        <f>SUM(Q21:Q27)</f>
        <v>1057.8</v>
      </c>
      <c r="R28" s="152"/>
      <c r="S28" s="372"/>
      <c r="T28" s="152">
        <f>SUM(T21:T27)</f>
        <v>31</v>
      </c>
      <c r="U28" s="152">
        <f>SUM(U21:U27)</f>
        <v>2053.3</v>
      </c>
      <c r="V28" s="152"/>
      <c r="W28" s="372"/>
      <c r="X28" s="152"/>
      <c r="Y28" s="372"/>
      <c r="Z28" s="152"/>
      <c r="AA28" s="372"/>
      <c r="AB28" s="152"/>
      <c r="AC28" s="372"/>
      <c r="AD28" s="152"/>
      <c r="AE28" s="372"/>
      <c r="AF28" s="152">
        <f>SUM(AF21:AF27)</f>
        <v>57</v>
      </c>
      <c r="AG28" s="453">
        <f>SUM(AG21:AG27)</f>
        <v>4441.799999999999</v>
      </c>
      <c r="AH28" s="68"/>
      <c r="AI28" s="72"/>
      <c r="AJ28"/>
      <c r="AK28"/>
      <c r="AL28"/>
      <c r="AM28"/>
    </row>
    <row r="29" spans="1:39" s="59" customFormat="1" ht="23.25" customHeight="1">
      <c r="A29" s="93"/>
      <c r="B29" s="112"/>
      <c r="C29" s="768"/>
      <c r="D29" s="112"/>
      <c r="E29" s="768"/>
      <c r="F29" s="112"/>
      <c r="G29" s="768"/>
      <c r="H29" s="112"/>
      <c r="I29" s="768"/>
      <c r="J29" s="112"/>
      <c r="K29" s="768"/>
      <c r="L29" s="112"/>
      <c r="M29" s="768"/>
      <c r="N29" s="112"/>
      <c r="O29" s="768"/>
      <c r="P29" s="112"/>
      <c r="Q29" s="768"/>
      <c r="R29" s="112"/>
      <c r="S29" s="768"/>
      <c r="T29" s="112"/>
      <c r="U29" s="768"/>
      <c r="V29" s="112"/>
      <c r="W29" s="768"/>
      <c r="X29" s="112"/>
      <c r="Y29" s="768"/>
      <c r="Z29" s="112"/>
      <c r="AA29" s="768"/>
      <c r="AB29" s="112"/>
      <c r="AC29" s="768"/>
      <c r="AD29" s="112"/>
      <c r="AE29" s="768"/>
      <c r="AF29" s="112"/>
      <c r="AG29" s="379"/>
      <c r="AH29" s="68"/>
      <c r="AI29" s="72"/>
      <c r="AJ29"/>
      <c r="AK29"/>
      <c r="AL29"/>
      <c r="AM29"/>
    </row>
    <row r="30" spans="1:39" s="59" customFormat="1" ht="23.25" customHeight="1">
      <c r="A30" s="93"/>
      <c r="B30" s="112"/>
      <c r="C30" s="768"/>
      <c r="D30" s="112"/>
      <c r="E30" s="768"/>
      <c r="F30" s="112"/>
      <c r="G30" s="768"/>
      <c r="H30" s="112"/>
      <c r="I30" s="768"/>
      <c r="J30" s="112"/>
      <c r="K30" s="768"/>
      <c r="L30" s="112"/>
      <c r="M30" s="768"/>
      <c r="N30" s="112"/>
      <c r="O30" s="768"/>
      <c r="P30" s="112"/>
      <c r="Q30" s="768"/>
      <c r="R30" s="112"/>
      <c r="S30" s="768"/>
      <c r="T30" s="112"/>
      <c r="U30" s="768"/>
      <c r="V30" s="112"/>
      <c r="W30" s="768"/>
      <c r="X30" s="112"/>
      <c r="Y30" s="768"/>
      <c r="Z30" s="112"/>
      <c r="AA30" s="768"/>
      <c r="AB30" s="112"/>
      <c r="AC30" s="768"/>
      <c r="AD30" s="112"/>
      <c r="AE30" s="768"/>
      <c r="AF30" s="112"/>
      <c r="AG30" s="379"/>
      <c r="AH30" s="68"/>
      <c r="AI30" s="72"/>
      <c r="AJ30"/>
      <c r="AK30"/>
      <c r="AL30"/>
      <c r="AM30"/>
    </row>
    <row r="31" spans="1:38" s="59" customFormat="1" ht="64.5" customHeight="1">
      <c r="A31" s="112"/>
      <c r="B31" s="67"/>
      <c r="C31" s="373"/>
      <c r="D31" s="93"/>
      <c r="E31" s="383"/>
      <c r="F31" s="93"/>
      <c r="G31" s="383"/>
      <c r="H31" s="155"/>
      <c r="I31" s="383"/>
      <c r="J31" s="155"/>
      <c r="K31" s="383"/>
      <c r="L31" s="155"/>
      <c r="M31" s="383"/>
      <c r="N31" s="93"/>
      <c r="O31" s="383"/>
      <c r="P31" s="155"/>
      <c r="Q31" s="383"/>
      <c r="R31" s="156"/>
      <c r="S31" s="354"/>
      <c r="T31" s="156"/>
      <c r="U31" s="354"/>
      <c r="V31" s="156"/>
      <c r="W31" s="354"/>
      <c r="X31" s="156"/>
      <c r="Y31" s="354"/>
      <c r="Z31" s="156"/>
      <c r="AA31" s="354"/>
      <c r="AB31" s="156"/>
      <c r="AC31" s="354"/>
      <c r="AD31" s="156"/>
      <c r="AE31" s="354"/>
      <c r="AF31" s="156"/>
      <c r="AG31" s="379"/>
      <c r="AH31" s="68"/>
      <c r="AI31" s="72"/>
      <c r="AK31" s="141"/>
      <c r="AL31" s="68"/>
    </row>
    <row r="32" spans="1:48" s="59" customFormat="1" ht="23.25" customHeight="1" thickBot="1">
      <c r="A32" s="239" t="s">
        <v>138</v>
      </c>
      <c r="B32" s="102"/>
      <c r="C32" s="374"/>
      <c r="D32" s="58"/>
      <c r="E32" s="353"/>
      <c r="F32" s="140"/>
      <c r="G32" s="353"/>
      <c r="H32" s="140"/>
      <c r="I32" s="353"/>
      <c r="J32" s="140"/>
      <c r="K32" s="353"/>
      <c r="L32" s="140"/>
      <c r="M32" s="353"/>
      <c r="N32" s="58"/>
      <c r="O32" s="353"/>
      <c r="P32" s="140"/>
      <c r="Q32" s="353"/>
      <c r="R32" s="68"/>
      <c r="S32" s="387"/>
      <c r="T32" s="68"/>
      <c r="U32" s="387"/>
      <c r="V32" s="68"/>
      <c r="W32" s="387"/>
      <c r="X32" s="68"/>
      <c r="Y32" s="387"/>
      <c r="Z32" s="140"/>
      <c r="AA32" s="387"/>
      <c r="AB32" s="68"/>
      <c r="AC32" s="387"/>
      <c r="AD32" s="141"/>
      <c r="AE32"/>
      <c r="AF32" s="141"/>
      <c r="AG32" s="1123" t="s">
        <v>483</v>
      </c>
      <c r="AH32" s="140"/>
      <c r="AI32" s="140"/>
      <c r="AJ32" s="141"/>
      <c r="AK32" s="68"/>
      <c r="AL32" s="68"/>
      <c r="AM32" s="68"/>
      <c r="AN32" s="141"/>
      <c r="AO32" s="68"/>
      <c r="AP32" s="141"/>
      <c r="AQ32" s="68"/>
      <c r="AR32" s="68"/>
      <c r="AS32" s="72"/>
      <c r="AU32" s="141"/>
      <c r="AV32" s="68"/>
    </row>
    <row r="33" spans="1:38" s="59" customFormat="1" ht="71.25" customHeight="1">
      <c r="A33" s="1163" t="s">
        <v>473</v>
      </c>
      <c r="B33" s="1221" t="s">
        <v>50</v>
      </c>
      <c r="C33" s="1221"/>
      <c r="D33" s="1221" t="s">
        <v>63</v>
      </c>
      <c r="E33" s="1221"/>
      <c r="F33" s="1221" t="s">
        <v>52</v>
      </c>
      <c r="G33" s="1221"/>
      <c r="H33" s="1221" t="s">
        <v>64</v>
      </c>
      <c r="I33" s="1221"/>
      <c r="J33" s="1221" t="s">
        <v>111</v>
      </c>
      <c r="K33" s="1221"/>
      <c r="L33" s="1221" t="s">
        <v>54</v>
      </c>
      <c r="M33" s="1221"/>
      <c r="N33" s="1221" t="s">
        <v>115</v>
      </c>
      <c r="O33" s="1221"/>
      <c r="P33" s="261" t="s">
        <v>55</v>
      </c>
      <c r="Q33" s="386"/>
      <c r="R33" s="1222" t="s">
        <v>56</v>
      </c>
      <c r="S33" s="1222"/>
      <c r="T33" s="1221" t="s">
        <v>57</v>
      </c>
      <c r="U33" s="1221"/>
      <c r="V33" s="1221" t="s">
        <v>58</v>
      </c>
      <c r="W33" s="1221"/>
      <c r="X33" s="1222" t="s">
        <v>132</v>
      </c>
      <c r="Y33" s="1222"/>
      <c r="Z33" s="1222" t="s">
        <v>60</v>
      </c>
      <c r="AA33" s="1222"/>
      <c r="AB33" s="1221" t="s">
        <v>61</v>
      </c>
      <c r="AC33" s="1221"/>
      <c r="AD33" s="1222" t="s">
        <v>71</v>
      </c>
      <c r="AE33" s="1222"/>
      <c r="AF33" s="1223" t="s">
        <v>49</v>
      </c>
      <c r="AG33" s="1223"/>
      <c r="AH33" s="68"/>
      <c r="AI33" s="72"/>
      <c r="AK33" s="141"/>
      <c r="AL33" s="68"/>
    </row>
    <row r="34" spans="1:37" s="218" customFormat="1" ht="19.5" customHeight="1" thickBot="1">
      <c r="A34" s="1164"/>
      <c r="B34" s="1080" t="s">
        <v>474</v>
      </c>
      <c r="C34" s="1081" t="s">
        <v>475</v>
      </c>
      <c r="D34" s="1080" t="s">
        <v>474</v>
      </c>
      <c r="E34" s="1081" t="s">
        <v>475</v>
      </c>
      <c r="F34" s="1080" t="s">
        <v>474</v>
      </c>
      <c r="G34" s="1081" t="s">
        <v>475</v>
      </c>
      <c r="H34" s="1080" t="s">
        <v>474</v>
      </c>
      <c r="I34" s="1081" t="s">
        <v>475</v>
      </c>
      <c r="J34" s="1080" t="s">
        <v>474</v>
      </c>
      <c r="K34" s="1081" t="s">
        <v>475</v>
      </c>
      <c r="L34" s="1080" t="s">
        <v>474</v>
      </c>
      <c r="M34" s="1081" t="s">
        <v>475</v>
      </c>
      <c r="N34" s="1080" t="s">
        <v>474</v>
      </c>
      <c r="O34" s="1081" t="s">
        <v>475</v>
      </c>
      <c r="P34" s="1080" t="s">
        <v>474</v>
      </c>
      <c r="Q34" s="1081" t="s">
        <v>475</v>
      </c>
      <c r="R34" s="1080" t="s">
        <v>474</v>
      </c>
      <c r="S34" s="1081" t="s">
        <v>475</v>
      </c>
      <c r="T34" s="1080" t="s">
        <v>474</v>
      </c>
      <c r="U34" s="1081" t="s">
        <v>475</v>
      </c>
      <c r="V34" s="1080" t="s">
        <v>474</v>
      </c>
      <c r="W34" s="1081" t="s">
        <v>475</v>
      </c>
      <c r="X34" s="1080" t="s">
        <v>474</v>
      </c>
      <c r="Y34" s="1081" t="s">
        <v>475</v>
      </c>
      <c r="Z34" s="1080" t="s">
        <v>474</v>
      </c>
      <c r="AA34" s="1081" t="s">
        <v>475</v>
      </c>
      <c r="AB34" s="1080" t="s">
        <v>474</v>
      </c>
      <c r="AC34" s="1081" t="s">
        <v>475</v>
      </c>
      <c r="AD34" s="1080" t="s">
        <v>474</v>
      </c>
      <c r="AE34" s="1081" t="s">
        <v>475</v>
      </c>
      <c r="AF34" s="1080" t="s">
        <v>474</v>
      </c>
      <c r="AG34" s="1081" t="s">
        <v>475</v>
      </c>
      <c r="AI34" s="219"/>
      <c r="AK34" s="220"/>
    </row>
    <row r="35" spans="1:36" s="59" customFormat="1" ht="21" customHeight="1">
      <c r="A35" s="75" t="s">
        <v>480</v>
      </c>
      <c r="B35" s="60"/>
      <c r="C35" s="371"/>
      <c r="D35" s="61"/>
      <c r="E35" s="345"/>
      <c r="F35" s="62"/>
      <c r="G35" s="345"/>
      <c r="H35" s="62"/>
      <c r="I35" s="345"/>
      <c r="J35" s="62"/>
      <c r="K35" s="345"/>
      <c r="L35" s="62"/>
      <c r="M35" s="345"/>
      <c r="N35" s="62"/>
      <c r="O35" s="345"/>
      <c r="P35" s="62"/>
      <c r="Q35" s="345"/>
      <c r="R35" s="62"/>
      <c r="S35" s="345"/>
      <c r="T35" s="63"/>
      <c r="U35" s="345"/>
      <c r="V35" s="63"/>
      <c r="W35" s="345"/>
      <c r="X35" s="62"/>
      <c r="Y35" s="345"/>
      <c r="Z35" s="63"/>
      <c r="AA35" s="345"/>
      <c r="AB35" s="62"/>
      <c r="AC35" s="345"/>
      <c r="AD35" s="63"/>
      <c r="AE35" s="345"/>
      <c r="AF35" s="68"/>
      <c r="AG35" s="454"/>
      <c r="AI35" s="141"/>
      <c r="AJ35" s="68"/>
    </row>
    <row r="36" spans="1:37" s="59" customFormat="1" ht="19.5" customHeight="1">
      <c r="A36" s="1082" t="s">
        <v>476</v>
      </c>
      <c r="B36" s="180"/>
      <c r="C36" s="376"/>
      <c r="D36" s="180"/>
      <c r="E36" s="376"/>
      <c r="F36" s="180"/>
      <c r="G36" s="376"/>
      <c r="H36" s="180"/>
      <c r="I36" s="376"/>
      <c r="J36" s="180"/>
      <c r="K36" s="376"/>
      <c r="L36" s="180"/>
      <c r="M36" s="376"/>
      <c r="N36" s="180"/>
      <c r="O36" s="376"/>
      <c r="P36" s="180"/>
      <c r="Q36" s="376"/>
      <c r="R36" s="180"/>
      <c r="S36" s="376"/>
      <c r="T36" s="180"/>
      <c r="U36" s="376"/>
      <c r="V36" s="180">
        <v>3</v>
      </c>
      <c r="W36" s="376">
        <v>61.5</v>
      </c>
      <c r="X36" s="180"/>
      <c r="Y36" s="376"/>
      <c r="Z36" s="180">
        <v>6</v>
      </c>
      <c r="AA36" s="376">
        <v>369</v>
      </c>
      <c r="AB36" s="180"/>
      <c r="AC36" s="376"/>
      <c r="AD36" s="180"/>
      <c r="AE36" s="376"/>
      <c r="AF36" s="457">
        <v>9</v>
      </c>
      <c r="AG36" s="489">
        <v>430.5</v>
      </c>
      <c r="AH36" s="97"/>
      <c r="AI36" s="224"/>
      <c r="AJ36" s="160"/>
      <c r="AK36" s="161"/>
    </row>
    <row r="37" spans="1:37" s="59" customFormat="1" ht="19.5" customHeight="1">
      <c r="A37" s="1082" t="s">
        <v>477</v>
      </c>
      <c r="B37" s="180"/>
      <c r="C37" s="376"/>
      <c r="D37" s="180"/>
      <c r="E37" s="376"/>
      <c r="F37" s="180"/>
      <c r="G37" s="376"/>
      <c r="H37" s="180"/>
      <c r="I37" s="376"/>
      <c r="J37" s="180"/>
      <c r="K37" s="376"/>
      <c r="L37" s="180"/>
      <c r="M37" s="376"/>
      <c r="N37" s="180"/>
      <c r="O37" s="376"/>
      <c r="P37" s="180"/>
      <c r="Q37" s="376"/>
      <c r="R37" s="180"/>
      <c r="S37" s="376"/>
      <c r="T37" s="180"/>
      <c r="U37" s="376"/>
      <c r="V37" s="180"/>
      <c r="W37" s="376"/>
      <c r="X37" s="180"/>
      <c r="Y37" s="376"/>
      <c r="Z37" s="180">
        <v>6</v>
      </c>
      <c r="AA37" s="376">
        <v>372.6</v>
      </c>
      <c r="AB37" s="180"/>
      <c r="AC37" s="376"/>
      <c r="AD37" s="180"/>
      <c r="AE37" s="376"/>
      <c r="AF37" s="457">
        <v>6</v>
      </c>
      <c r="AG37" s="489">
        <v>372.6</v>
      </c>
      <c r="AH37" s="97"/>
      <c r="AI37" s="224"/>
      <c r="AJ37" s="160"/>
      <c r="AK37" s="161"/>
    </row>
    <row r="38" spans="1:37" s="59" customFormat="1" ht="19.5" customHeight="1">
      <c r="A38" s="1082" t="s">
        <v>478</v>
      </c>
      <c r="B38" s="180"/>
      <c r="C38" s="376"/>
      <c r="D38" s="180"/>
      <c r="E38" s="376"/>
      <c r="F38" s="180"/>
      <c r="G38" s="376"/>
      <c r="H38" s="180"/>
      <c r="I38" s="376"/>
      <c r="J38" s="180"/>
      <c r="K38" s="376"/>
      <c r="L38" s="180"/>
      <c r="M38" s="376"/>
      <c r="N38" s="180"/>
      <c r="O38" s="376"/>
      <c r="P38" s="180"/>
      <c r="Q38" s="376"/>
      <c r="R38" s="180"/>
      <c r="S38" s="376"/>
      <c r="T38" s="180"/>
      <c r="U38" s="376"/>
      <c r="V38" s="180">
        <v>4</v>
      </c>
      <c r="W38" s="376">
        <v>88.4</v>
      </c>
      <c r="X38" s="180"/>
      <c r="Y38" s="376"/>
      <c r="Z38" s="180">
        <v>6</v>
      </c>
      <c r="AA38" s="376">
        <v>367.8</v>
      </c>
      <c r="AB38" s="180"/>
      <c r="AC38" s="376"/>
      <c r="AD38" s="180"/>
      <c r="AE38" s="376"/>
      <c r="AF38" s="457">
        <v>10</v>
      </c>
      <c r="AG38" s="489">
        <v>456.20000000000005</v>
      </c>
      <c r="AH38" s="97"/>
      <c r="AI38" s="224"/>
      <c r="AJ38" s="160"/>
      <c r="AK38" s="161"/>
    </row>
    <row r="39" spans="1:35" s="240" customFormat="1" ht="19.5" customHeight="1">
      <c r="A39" s="1083" t="s">
        <v>479</v>
      </c>
      <c r="B39" s="181"/>
      <c r="C39" s="377"/>
      <c r="D39" s="181"/>
      <c r="E39" s="377"/>
      <c r="F39" s="181"/>
      <c r="G39" s="377"/>
      <c r="H39" s="181"/>
      <c r="I39" s="377"/>
      <c r="J39" s="181"/>
      <c r="K39" s="377"/>
      <c r="L39" s="181"/>
      <c r="M39" s="377"/>
      <c r="N39" s="181"/>
      <c r="O39" s="377"/>
      <c r="P39" s="181"/>
      <c r="Q39" s="377"/>
      <c r="R39" s="181"/>
      <c r="S39" s="377"/>
      <c r="T39" s="181"/>
      <c r="U39" s="377"/>
      <c r="V39" s="181">
        <v>3</v>
      </c>
      <c r="W39" s="377">
        <v>27</v>
      </c>
      <c r="X39" s="181"/>
      <c r="Y39" s="377"/>
      <c r="Z39" s="181">
        <v>6</v>
      </c>
      <c r="AA39" s="377">
        <v>382.8</v>
      </c>
      <c r="AB39" s="181"/>
      <c r="AC39" s="377"/>
      <c r="AD39" s="181"/>
      <c r="AE39" s="377"/>
      <c r="AF39" s="457">
        <v>9</v>
      </c>
      <c r="AG39" s="489">
        <v>409.8</v>
      </c>
      <c r="AI39" s="18"/>
    </row>
    <row r="40" spans="1:39" s="59" customFormat="1" ht="22.5" customHeight="1" thickBot="1">
      <c r="A40" s="154" t="s">
        <v>555</v>
      </c>
      <c r="B40" s="222"/>
      <c r="C40" s="375"/>
      <c r="D40" s="222"/>
      <c r="E40" s="375"/>
      <c r="F40" s="222"/>
      <c r="G40" s="375"/>
      <c r="H40" s="222"/>
      <c r="I40" s="375"/>
      <c r="J40" s="222"/>
      <c r="K40" s="375"/>
      <c r="L40" s="222"/>
      <c r="M40" s="375"/>
      <c r="N40" s="222"/>
      <c r="O40" s="375"/>
      <c r="P40" s="222"/>
      <c r="Q40" s="375"/>
      <c r="R40" s="222"/>
      <c r="S40" s="375"/>
      <c r="T40" s="222"/>
      <c r="U40" s="375"/>
      <c r="V40" s="222">
        <v>3</v>
      </c>
      <c r="W40" s="375">
        <v>27</v>
      </c>
      <c r="X40" s="222"/>
      <c r="Y40" s="375"/>
      <c r="Z40" s="222"/>
      <c r="AA40" s="375"/>
      <c r="AB40" s="222"/>
      <c r="AC40" s="375"/>
      <c r="AD40" s="222"/>
      <c r="AE40" s="375"/>
      <c r="AF40" s="393">
        <v>3</v>
      </c>
      <c r="AG40" s="1067">
        <v>27</v>
      </c>
      <c r="AH40" s="68"/>
      <c r="AI40" s="72"/>
      <c r="AJ40"/>
      <c r="AK40"/>
      <c r="AL40"/>
      <c r="AM40"/>
    </row>
    <row r="41" spans="1:36" s="167" customFormat="1" ht="23.25" customHeight="1" thickBot="1">
      <c r="A41" s="221" t="s">
        <v>49</v>
      </c>
      <c r="B41" s="243">
        <f aca="true" t="shared" si="1" ref="B41:AG41">SUM(B35:B40)</f>
        <v>0</v>
      </c>
      <c r="C41" s="378">
        <f t="shared" si="1"/>
        <v>0</v>
      </c>
      <c r="D41" s="243">
        <f t="shared" si="1"/>
        <v>0</v>
      </c>
      <c r="E41" s="378">
        <f t="shared" si="1"/>
        <v>0</v>
      </c>
      <c r="F41" s="243">
        <f t="shared" si="1"/>
        <v>0</v>
      </c>
      <c r="G41" s="378">
        <f t="shared" si="1"/>
        <v>0</v>
      </c>
      <c r="H41" s="243">
        <f t="shared" si="1"/>
        <v>0</v>
      </c>
      <c r="I41" s="378">
        <f t="shared" si="1"/>
        <v>0</v>
      </c>
      <c r="J41" s="243">
        <f t="shared" si="1"/>
        <v>0</v>
      </c>
      <c r="K41" s="378">
        <f t="shared" si="1"/>
        <v>0</v>
      </c>
      <c r="L41" s="243">
        <f t="shared" si="1"/>
        <v>0</v>
      </c>
      <c r="M41" s="378">
        <f t="shared" si="1"/>
        <v>0</v>
      </c>
      <c r="N41" s="243">
        <f t="shared" si="1"/>
        <v>0</v>
      </c>
      <c r="O41" s="378">
        <f t="shared" si="1"/>
        <v>0</v>
      </c>
      <c r="P41" s="243">
        <f t="shared" si="1"/>
        <v>0</v>
      </c>
      <c r="Q41" s="378">
        <f t="shared" si="1"/>
        <v>0</v>
      </c>
      <c r="R41" s="243">
        <f t="shared" si="1"/>
        <v>0</v>
      </c>
      <c r="S41" s="378">
        <f t="shared" si="1"/>
        <v>0</v>
      </c>
      <c r="T41" s="243">
        <f t="shared" si="1"/>
        <v>0</v>
      </c>
      <c r="U41" s="378">
        <f t="shared" si="1"/>
        <v>0</v>
      </c>
      <c r="V41" s="243">
        <f t="shared" si="1"/>
        <v>13</v>
      </c>
      <c r="W41" s="378">
        <f t="shared" si="1"/>
        <v>203.9</v>
      </c>
      <c r="X41" s="243">
        <f t="shared" si="1"/>
        <v>0</v>
      </c>
      <c r="Y41" s="378">
        <f t="shared" si="1"/>
        <v>0</v>
      </c>
      <c r="Z41" s="243">
        <f t="shared" si="1"/>
        <v>24</v>
      </c>
      <c r="AA41" s="378">
        <f t="shared" si="1"/>
        <v>1492.2</v>
      </c>
      <c r="AB41" s="243">
        <f t="shared" si="1"/>
        <v>0</v>
      </c>
      <c r="AC41" s="378">
        <f t="shared" si="1"/>
        <v>0</v>
      </c>
      <c r="AD41" s="243">
        <f t="shared" si="1"/>
        <v>0</v>
      </c>
      <c r="AE41" s="378">
        <f t="shared" si="1"/>
        <v>0</v>
      </c>
      <c r="AF41" s="243">
        <f t="shared" si="1"/>
        <v>37</v>
      </c>
      <c r="AG41" s="378">
        <f t="shared" si="1"/>
        <v>1696.1000000000001</v>
      </c>
      <c r="AH41" s="42"/>
      <c r="AI41" s="42"/>
      <c r="AJ41" s="42"/>
    </row>
    <row r="42" spans="1:36" s="167" customFormat="1" ht="41.25" customHeight="1">
      <c r="A42" s="93"/>
      <c r="B42" s="242"/>
      <c r="C42" s="379"/>
      <c r="D42" s="242"/>
      <c r="E42" s="379"/>
      <c r="F42" s="242"/>
      <c r="G42" s="379"/>
      <c r="H42" s="242"/>
      <c r="I42" s="379"/>
      <c r="J42" s="242"/>
      <c r="K42" s="379"/>
      <c r="L42" s="242"/>
      <c r="M42" s="379"/>
      <c r="N42" s="242"/>
      <c r="O42" s="379"/>
      <c r="P42" s="242"/>
      <c r="Q42" s="379"/>
      <c r="R42" s="242"/>
      <c r="S42" s="379"/>
      <c r="T42" s="242"/>
      <c r="U42" s="379"/>
      <c r="V42" s="242"/>
      <c r="W42" s="379"/>
      <c r="X42" s="242"/>
      <c r="Y42" s="379"/>
      <c r="Z42" s="242"/>
      <c r="AA42" s="379"/>
      <c r="AB42" s="242"/>
      <c r="AC42" s="379"/>
      <c r="AD42" s="242"/>
      <c r="AE42" s="379"/>
      <c r="AF42" s="242"/>
      <c r="AG42" s="379"/>
      <c r="AH42" s="42"/>
      <c r="AI42" s="42"/>
      <c r="AJ42" s="42"/>
    </row>
    <row r="43" spans="1:48" s="59" customFormat="1" ht="20.25" customHeight="1" thickBot="1">
      <c r="A43" s="239" t="s">
        <v>139</v>
      </c>
      <c r="B43" s="102"/>
      <c r="C43" s="374"/>
      <c r="D43" s="58"/>
      <c r="E43" s="353"/>
      <c r="F43" s="140"/>
      <c r="G43" s="353"/>
      <c r="H43" s="140"/>
      <c r="I43" s="353"/>
      <c r="J43" s="140"/>
      <c r="K43" s="353"/>
      <c r="L43" s="140"/>
      <c r="M43" s="353"/>
      <c r="N43" s="58"/>
      <c r="O43" s="353"/>
      <c r="P43" s="140"/>
      <c r="Q43" s="353"/>
      <c r="R43" s="68"/>
      <c r="S43" s="387"/>
      <c r="T43" s="68"/>
      <c r="U43" s="387"/>
      <c r="V43" s="68"/>
      <c r="W43" s="387"/>
      <c r="X43" s="68"/>
      <c r="Y43" s="387"/>
      <c r="Z43" s="140"/>
      <c r="AA43" s="387"/>
      <c r="AB43" s="68"/>
      <c r="AC43" s="387"/>
      <c r="AD43" s="141"/>
      <c r="AE43" s="387"/>
      <c r="AF43" s="141"/>
      <c r="AG43" s="1123" t="s">
        <v>483</v>
      </c>
      <c r="AH43" s="140"/>
      <c r="AI43" s="140"/>
      <c r="AJ43" s="141"/>
      <c r="AK43" s="68"/>
      <c r="AL43" s="68"/>
      <c r="AM43" s="68"/>
      <c r="AN43" s="141"/>
      <c r="AO43" s="68"/>
      <c r="AP43" s="141"/>
      <c r="AQ43" s="68"/>
      <c r="AR43" s="68"/>
      <c r="AS43" s="72"/>
      <c r="AU43" s="141"/>
      <c r="AV43" s="68"/>
    </row>
    <row r="44" spans="1:38" s="59" customFormat="1" ht="72.75" customHeight="1">
      <c r="A44" s="1163" t="s">
        <v>473</v>
      </c>
      <c r="B44" s="1221" t="s">
        <v>50</v>
      </c>
      <c r="C44" s="1221"/>
      <c r="D44" s="1221" t="s">
        <v>63</v>
      </c>
      <c r="E44" s="1221"/>
      <c r="F44" s="1221" t="s">
        <v>52</v>
      </c>
      <c r="G44" s="1221"/>
      <c r="H44" s="1221" t="s">
        <v>64</v>
      </c>
      <c r="I44" s="1221"/>
      <c r="J44" s="1221" t="s">
        <v>111</v>
      </c>
      <c r="K44" s="1221"/>
      <c r="L44" s="1221" t="s">
        <v>54</v>
      </c>
      <c r="M44" s="1221"/>
      <c r="N44" s="1221" t="s">
        <v>115</v>
      </c>
      <c r="O44" s="1221"/>
      <c r="P44" s="261" t="s">
        <v>55</v>
      </c>
      <c r="Q44" s="386"/>
      <c r="R44" s="1222" t="s">
        <v>56</v>
      </c>
      <c r="S44" s="1222"/>
      <c r="T44" s="1221" t="s">
        <v>57</v>
      </c>
      <c r="U44" s="1221"/>
      <c r="V44" s="1221" t="s">
        <v>58</v>
      </c>
      <c r="W44" s="1221"/>
      <c r="X44" s="1222" t="s">
        <v>132</v>
      </c>
      <c r="Y44" s="1222"/>
      <c r="Z44" s="1222" t="s">
        <v>60</v>
      </c>
      <c r="AA44" s="1222"/>
      <c r="AB44" s="1221" t="s">
        <v>61</v>
      </c>
      <c r="AC44" s="1221"/>
      <c r="AD44" s="1222" t="s">
        <v>71</v>
      </c>
      <c r="AE44" s="1222"/>
      <c r="AF44" s="1223" t="s">
        <v>481</v>
      </c>
      <c r="AG44" s="1223"/>
      <c r="AH44" s="68"/>
      <c r="AI44" s="72"/>
      <c r="AK44" s="141"/>
      <c r="AL44" s="68"/>
    </row>
    <row r="45" spans="1:37" s="218" customFormat="1" ht="19.5" customHeight="1" thickBot="1">
      <c r="A45" s="1164"/>
      <c r="B45" s="1080" t="s">
        <v>474</v>
      </c>
      <c r="C45" s="1081" t="s">
        <v>475</v>
      </c>
      <c r="D45" s="1080" t="s">
        <v>474</v>
      </c>
      <c r="E45" s="1081" t="s">
        <v>475</v>
      </c>
      <c r="F45" s="1080" t="s">
        <v>474</v>
      </c>
      <c r="G45" s="1081" t="s">
        <v>475</v>
      </c>
      <c r="H45" s="1080" t="s">
        <v>474</v>
      </c>
      <c r="I45" s="1081" t="s">
        <v>475</v>
      </c>
      <c r="J45" s="1080" t="s">
        <v>474</v>
      </c>
      <c r="K45" s="1081" t="s">
        <v>475</v>
      </c>
      <c r="L45" s="1080" t="s">
        <v>474</v>
      </c>
      <c r="M45" s="1081" t="s">
        <v>475</v>
      </c>
      <c r="N45" s="1080" t="s">
        <v>474</v>
      </c>
      <c r="O45" s="1081" t="s">
        <v>475</v>
      </c>
      <c r="P45" s="1080" t="s">
        <v>474</v>
      </c>
      <c r="Q45" s="1081" t="s">
        <v>475</v>
      </c>
      <c r="R45" s="1080" t="s">
        <v>474</v>
      </c>
      <c r="S45" s="1081" t="s">
        <v>475</v>
      </c>
      <c r="T45" s="1080" t="s">
        <v>474</v>
      </c>
      <c r="U45" s="1081" t="s">
        <v>475</v>
      </c>
      <c r="V45" s="1080" t="s">
        <v>474</v>
      </c>
      <c r="W45" s="1081" t="s">
        <v>475</v>
      </c>
      <c r="X45" s="1080" t="s">
        <v>474</v>
      </c>
      <c r="Y45" s="1081" t="s">
        <v>475</v>
      </c>
      <c r="Z45" s="1080" t="s">
        <v>474</v>
      </c>
      <c r="AA45" s="1081" t="s">
        <v>475</v>
      </c>
      <c r="AB45" s="1080" t="s">
        <v>474</v>
      </c>
      <c r="AC45" s="1081" t="s">
        <v>475</v>
      </c>
      <c r="AD45" s="1080" t="s">
        <v>474</v>
      </c>
      <c r="AE45" s="1081" t="s">
        <v>475</v>
      </c>
      <c r="AF45" s="1080" t="s">
        <v>474</v>
      </c>
      <c r="AG45" s="1081" t="s">
        <v>475</v>
      </c>
      <c r="AI45" s="219"/>
      <c r="AK45" s="220"/>
    </row>
    <row r="46" spans="1:36" s="59" customFormat="1" ht="21" customHeight="1">
      <c r="A46" s="75" t="s">
        <v>480</v>
      </c>
      <c r="B46" s="60"/>
      <c r="C46" s="371"/>
      <c r="D46" s="61"/>
      <c r="E46" s="345"/>
      <c r="F46" s="62"/>
      <c r="G46" s="345"/>
      <c r="H46" s="62"/>
      <c r="I46" s="345"/>
      <c r="J46" s="62"/>
      <c r="K46" s="345"/>
      <c r="L46" s="62"/>
      <c r="M46" s="345"/>
      <c r="N46" s="62"/>
      <c r="O46" s="345"/>
      <c r="P46" s="62"/>
      <c r="Q46" s="345"/>
      <c r="R46" s="62"/>
      <c r="S46" s="345"/>
      <c r="T46" s="63"/>
      <c r="U46" s="345"/>
      <c r="V46" s="63"/>
      <c r="W46" s="345"/>
      <c r="X46" s="62"/>
      <c r="Y46" s="345"/>
      <c r="Z46" s="63"/>
      <c r="AA46" s="345"/>
      <c r="AB46" s="62"/>
      <c r="AC46" s="345"/>
      <c r="AD46" s="63"/>
      <c r="AE46" s="345"/>
      <c r="AF46" s="68"/>
      <c r="AG46" s="454"/>
      <c r="AI46" s="141"/>
      <c r="AJ46" s="68"/>
    </row>
    <row r="47" spans="1:37" s="269" customFormat="1" ht="19.5" customHeight="1">
      <c r="A47" s="1082" t="s">
        <v>478</v>
      </c>
      <c r="B47" s="181">
        <v>1</v>
      </c>
      <c r="C47" s="377">
        <v>109.4</v>
      </c>
      <c r="D47" s="181"/>
      <c r="E47" s="377"/>
      <c r="F47" s="181"/>
      <c r="G47" s="377"/>
      <c r="H47" s="181"/>
      <c r="I47" s="377"/>
      <c r="J47" s="181"/>
      <c r="K47" s="377"/>
      <c r="L47" s="181">
        <v>6</v>
      </c>
      <c r="M47" s="377">
        <v>563.1</v>
      </c>
      <c r="N47" s="181"/>
      <c r="O47" s="377"/>
      <c r="P47" s="181"/>
      <c r="Q47" s="377"/>
      <c r="R47" s="181"/>
      <c r="S47" s="377"/>
      <c r="T47" s="181"/>
      <c r="U47" s="377"/>
      <c r="V47" s="181"/>
      <c r="W47" s="377"/>
      <c r="X47" s="181"/>
      <c r="Y47" s="377"/>
      <c r="Z47" s="181"/>
      <c r="AA47" s="377"/>
      <c r="AB47" s="181"/>
      <c r="AC47" s="377"/>
      <c r="AD47" s="181"/>
      <c r="AE47" s="377"/>
      <c r="AF47" s="598">
        <v>7</v>
      </c>
      <c r="AG47" s="490">
        <v>672.5</v>
      </c>
      <c r="AH47" s="255"/>
      <c r="AI47" s="267"/>
      <c r="AJ47" s="267"/>
      <c r="AK47" s="268"/>
    </row>
    <row r="48" spans="1:36" s="59" customFormat="1" ht="21" customHeight="1">
      <c r="A48" s="1103" t="s">
        <v>556</v>
      </c>
      <c r="B48" s="60"/>
      <c r="C48" s="380"/>
      <c r="D48" s="264"/>
      <c r="E48" s="384"/>
      <c r="F48" s="265"/>
      <c r="G48" s="384"/>
      <c r="H48" s="266"/>
      <c r="I48" s="385"/>
      <c r="J48" s="266"/>
      <c r="K48" s="385"/>
      <c r="L48" s="266"/>
      <c r="M48" s="385"/>
      <c r="N48" s="265"/>
      <c r="O48" s="384"/>
      <c r="P48" s="265"/>
      <c r="Q48" s="384"/>
      <c r="R48" s="266"/>
      <c r="S48" s="385"/>
      <c r="T48" s="266"/>
      <c r="U48" s="384"/>
      <c r="V48" s="266"/>
      <c r="W48" s="384"/>
      <c r="X48" s="266"/>
      <c r="Y48" s="385"/>
      <c r="Z48" s="266"/>
      <c r="AA48" s="385"/>
      <c r="AB48" s="266"/>
      <c r="AC48" s="385"/>
      <c r="AD48" s="266"/>
      <c r="AE48" s="385"/>
      <c r="AF48" s="94"/>
      <c r="AG48" s="355"/>
      <c r="AI48" s="141"/>
      <c r="AJ48" s="68"/>
    </row>
    <row r="49" spans="1:36" s="59" customFormat="1" ht="19.5" customHeight="1">
      <c r="A49" s="75" t="s">
        <v>77</v>
      </c>
      <c r="B49" s="180">
        <v>1</v>
      </c>
      <c r="C49" s="376">
        <v>106.5</v>
      </c>
      <c r="D49" s="180"/>
      <c r="E49" s="376"/>
      <c r="F49" s="180"/>
      <c r="G49" s="376"/>
      <c r="H49" s="180"/>
      <c r="I49" s="376"/>
      <c r="J49" s="180"/>
      <c r="K49" s="376"/>
      <c r="L49" s="180"/>
      <c r="M49" s="376"/>
      <c r="N49" s="180"/>
      <c r="O49" s="376"/>
      <c r="P49" s="180"/>
      <c r="Q49" s="376"/>
      <c r="R49" s="180"/>
      <c r="S49" s="376"/>
      <c r="T49" s="180"/>
      <c r="U49" s="376"/>
      <c r="V49" s="180"/>
      <c r="W49" s="376"/>
      <c r="X49" s="180"/>
      <c r="Y49" s="376"/>
      <c r="Z49" s="180"/>
      <c r="AA49" s="376"/>
      <c r="AB49" s="180"/>
      <c r="AC49" s="376"/>
      <c r="AD49" s="180"/>
      <c r="AE49" s="376"/>
      <c r="AF49" s="457">
        <v>1</v>
      </c>
      <c r="AG49" s="489">
        <v>106.5</v>
      </c>
      <c r="AI49" s="141"/>
      <c r="AJ49" s="68"/>
    </row>
    <row r="50" spans="1:36" s="59" customFormat="1" ht="19.5" customHeight="1">
      <c r="A50" s="75" t="s">
        <v>72</v>
      </c>
      <c r="B50" s="180">
        <v>1</v>
      </c>
      <c r="C50" s="376">
        <v>106.5</v>
      </c>
      <c r="D50" s="180"/>
      <c r="E50" s="376"/>
      <c r="F50" s="180"/>
      <c r="G50" s="376"/>
      <c r="H50" s="180"/>
      <c r="I50" s="376"/>
      <c r="J50" s="180"/>
      <c r="K50" s="376"/>
      <c r="L50" s="180">
        <v>3</v>
      </c>
      <c r="M50" s="376">
        <v>368.1</v>
      </c>
      <c r="N50" s="180"/>
      <c r="O50" s="376"/>
      <c r="P50" s="180"/>
      <c r="Q50" s="376"/>
      <c r="R50" s="180"/>
      <c r="S50" s="376"/>
      <c r="T50" s="180"/>
      <c r="U50" s="376"/>
      <c r="V50" s="180"/>
      <c r="W50" s="376"/>
      <c r="X50" s="180"/>
      <c r="Y50" s="376"/>
      <c r="Z50" s="180"/>
      <c r="AA50" s="376"/>
      <c r="AB50" s="180"/>
      <c r="AC50" s="376"/>
      <c r="AD50" s="180"/>
      <c r="AE50" s="376"/>
      <c r="AF50" s="457">
        <v>4</v>
      </c>
      <c r="AG50" s="489">
        <v>474.6</v>
      </c>
      <c r="AI50" s="141"/>
      <c r="AJ50" s="68"/>
    </row>
    <row r="51" spans="1:36" s="59" customFormat="1" ht="19.5" customHeight="1">
      <c r="A51" s="75" t="s">
        <v>95</v>
      </c>
      <c r="B51" s="180">
        <v>1</v>
      </c>
      <c r="C51" s="376">
        <v>107.2</v>
      </c>
      <c r="D51" s="180"/>
      <c r="E51" s="376"/>
      <c r="F51" s="180"/>
      <c r="G51" s="376"/>
      <c r="H51" s="180"/>
      <c r="I51" s="376"/>
      <c r="J51" s="180"/>
      <c r="K51" s="376"/>
      <c r="L51" s="180">
        <v>3</v>
      </c>
      <c r="M51" s="376">
        <v>338.7</v>
      </c>
      <c r="N51" s="180"/>
      <c r="O51" s="376"/>
      <c r="P51" s="180"/>
      <c r="Q51" s="376"/>
      <c r="R51" s="180"/>
      <c r="S51" s="376"/>
      <c r="T51" s="180"/>
      <c r="U51" s="376"/>
      <c r="V51" s="180"/>
      <c r="W51" s="376"/>
      <c r="X51" s="180"/>
      <c r="Y51" s="376"/>
      <c r="Z51" s="180"/>
      <c r="AA51" s="376"/>
      <c r="AB51" s="180"/>
      <c r="AC51" s="376"/>
      <c r="AD51" s="180"/>
      <c r="AE51" s="376"/>
      <c r="AF51" s="457">
        <v>4</v>
      </c>
      <c r="AG51" s="489">
        <v>445.9</v>
      </c>
      <c r="AI51" s="141"/>
      <c r="AJ51" s="68"/>
    </row>
    <row r="52" spans="1:36" s="59" customFormat="1" ht="19.5" customHeight="1">
      <c r="A52" s="75" t="s">
        <v>98</v>
      </c>
      <c r="B52" s="180"/>
      <c r="C52" s="376"/>
      <c r="D52" s="180"/>
      <c r="E52" s="376"/>
      <c r="F52" s="180"/>
      <c r="G52" s="376"/>
      <c r="H52" s="180"/>
      <c r="I52" s="376"/>
      <c r="J52" s="180"/>
      <c r="K52" s="376"/>
      <c r="L52" s="180"/>
      <c r="M52" s="376"/>
      <c r="N52" s="180"/>
      <c r="O52" s="376"/>
      <c r="P52" s="180"/>
      <c r="Q52" s="376"/>
      <c r="R52" s="180"/>
      <c r="S52" s="376"/>
      <c r="T52" s="180"/>
      <c r="U52" s="376"/>
      <c r="V52" s="180"/>
      <c r="W52" s="376"/>
      <c r="X52" s="180"/>
      <c r="Y52" s="376"/>
      <c r="Z52" s="180"/>
      <c r="AA52" s="376"/>
      <c r="AB52" s="180"/>
      <c r="AC52" s="376"/>
      <c r="AD52" s="180"/>
      <c r="AE52" s="376"/>
      <c r="AF52" s="457">
        <v>0</v>
      </c>
      <c r="AG52" s="489">
        <v>0</v>
      </c>
      <c r="AI52" s="141"/>
      <c r="AJ52" s="68"/>
    </row>
    <row r="53" spans="1:36" s="59" customFormat="1" ht="19.5" customHeight="1">
      <c r="A53" s="75" t="s">
        <v>78</v>
      </c>
      <c r="B53" s="180">
        <v>1</v>
      </c>
      <c r="C53" s="376">
        <v>107.2</v>
      </c>
      <c r="D53" s="180"/>
      <c r="E53" s="376"/>
      <c r="F53" s="180"/>
      <c r="G53" s="376"/>
      <c r="H53" s="180"/>
      <c r="I53" s="376"/>
      <c r="J53" s="180"/>
      <c r="K53" s="376"/>
      <c r="L53" s="180">
        <v>5</v>
      </c>
      <c r="M53" s="376">
        <v>547.1</v>
      </c>
      <c r="N53" s="180"/>
      <c r="O53" s="376"/>
      <c r="P53" s="180"/>
      <c r="Q53" s="376"/>
      <c r="R53" s="180"/>
      <c r="S53" s="376"/>
      <c r="T53" s="180"/>
      <c r="U53" s="376"/>
      <c r="V53" s="180"/>
      <c r="W53" s="376"/>
      <c r="X53" s="180"/>
      <c r="Y53" s="376"/>
      <c r="Z53" s="180"/>
      <c r="AA53" s="376"/>
      <c r="AB53" s="180"/>
      <c r="AC53" s="376"/>
      <c r="AD53" s="180"/>
      <c r="AE53" s="376"/>
      <c r="AF53" s="457">
        <v>6</v>
      </c>
      <c r="AG53" s="489">
        <v>654.3000000000001</v>
      </c>
      <c r="AI53" s="141"/>
      <c r="AJ53" s="68"/>
    </row>
    <row r="54" spans="1:36" s="269" customFormat="1" ht="19.5" customHeight="1">
      <c r="A54" s="75" t="s">
        <v>419</v>
      </c>
      <c r="B54" s="180"/>
      <c r="C54" s="376"/>
      <c r="D54" s="180"/>
      <c r="E54" s="376"/>
      <c r="F54" s="180"/>
      <c r="G54" s="376"/>
      <c r="H54" s="180"/>
      <c r="I54" s="376"/>
      <c r="J54" s="180"/>
      <c r="K54" s="376"/>
      <c r="L54" s="180">
        <v>6</v>
      </c>
      <c r="M54" s="376">
        <v>835.8</v>
      </c>
      <c r="N54" s="180"/>
      <c r="O54" s="376"/>
      <c r="P54" s="180"/>
      <c r="Q54" s="376"/>
      <c r="R54" s="180"/>
      <c r="S54" s="376"/>
      <c r="T54" s="180"/>
      <c r="U54" s="376"/>
      <c r="V54" s="180"/>
      <c r="W54" s="376"/>
      <c r="X54" s="180"/>
      <c r="Y54" s="376"/>
      <c r="Z54" s="180"/>
      <c r="AA54" s="376"/>
      <c r="AB54" s="180"/>
      <c r="AC54" s="376"/>
      <c r="AD54" s="180"/>
      <c r="AE54" s="376"/>
      <c r="AF54" s="457">
        <v>6</v>
      </c>
      <c r="AG54" s="489">
        <v>835.8</v>
      </c>
      <c r="AI54" s="270"/>
      <c r="AJ54" s="271"/>
    </row>
    <row r="55" spans="1:36" s="269" customFormat="1" ht="19.5" customHeight="1">
      <c r="A55" s="168" t="s">
        <v>79</v>
      </c>
      <c r="B55" s="181">
        <v>1</v>
      </c>
      <c r="C55" s="377">
        <v>107.8</v>
      </c>
      <c r="D55" s="181"/>
      <c r="E55" s="377"/>
      <c r="F55" s="181"/>
      <c r="G55" s="377"/>
      <c r="H55" s="181"/>
      <c r="I55" s="377"/>
      <c r="J55" s="181"/>
      <c r="K55" s="377"/>
      <c r="L55" s="181">
        <v>5</v>
      </c>
      <c r="M55" s="377">
        <v>512.2</v>
      </c>
      <c r="N55" s="181"/>
      <c r="O55" s="377"/>
      <c r="P55" s="181"/>
      <c r="Q55" s="377"/>
      <c r="R55" s="181"/>
      <c r="S55" s="377"/>
      <c r="T55" s="181"/>
      <c r="U55" s="377"/>
      <c r="V55" s="181"/>
      <c r="W55" s="377"/>
      <c r="X55" s="181"/>
      <c r="Y55" s="377"/>
      <c r="Z55" s="181"/>
      <c r="AA55" s="377"/>
      <c r="AB55" s="181"/>
      <c r="AC55" s="377"/>
      <c r="AD55" s="181"/>
      <c r="AE55" s="377"/>
      <c r="AF55" s="598">
        <v>6</v>
      </c>
      <c r="AG55" s="490">
        <v>620</v>
      </c>
      <c r="AI55" s="270"/>
      <c r="AJ55" s="271"/>
    </row>
    <row r="56" spans="1:36" s="59" customFormat="1" ht="19.5" customHeight="1" thickBot="1">
      <c r="A56" s="75" t="s">
        <v>554</v>
      </c>
      <c r="B56" s="180">
        <v>1</v>
      </c>
      <c r="C56" s="376">
        <v>107</v>
      </c>
      <c r="D56" s="180"/>
      <c r="E56" s="376"/>
      <c r="F56" s="180"/>
      <c r="G56" s="376"/>
      <c r="H56" s="180"/>
      <c r="I56" s="376"/>
      <c r="J56" s="180"/>
      <c r="K56" s="376"/>
      <c r="L56" s="180">
        <v>5</v>
      </c>
      <c r="M56" s="376">
        <v>393.1</v>
      </c>
      <c r="N56" s="180"/>
      <c r="O56" s="376"/>
      <c r="P56" s="180"/>
      <c r="Q56" s="376"/>
      <c r="R56" s="180"/>
      <c r="S56" s="376"/>
      <c r="T56" s="180"/>
      <c r="U56" s="376"/>
      <c r="V56" s="180"/>
      <c r="W56" s="376"/>
      <c r="X56" s="180"/>
      <c r="Y56" s="376"/>
      <c r="Z56" s="180"/>
      <c r="AA56" s="376"/>
      <c r="AB56" s="180"/>
      <c r="AC56" s="376"/>
      <c r="AD56" s="180"/>
      <c r="AE56" s="376"/>
      <c r="AF56" s="457">
        <v>6</v>
      </c>
      <c r="AG56" s="489">
        <v>500.1</v>
      </c>
      <c r="AI56" s="141"/>
      <c r="AJ56" s="68"/>
    </row>
    <row r="57" spans="1:36" s="167" customFormat="1" ht="20.25" customHeight="1" thickBot="1">
      <c r="A57" s="221" t="s">
        <v>481</v>
      </c>
      <c r="B57" s="162">
        <f>SUM(B47:B56)</f>
        <v>7</v>
      </c>
      <c r="C57" s="340">
        <f aca="true" t="shared" si="2" ref="C57:M57">SUM(C47:C56)</f>
        <v>751.5999999999999</v>
      </c>
      <c r="D57" s="162">
        <f t="shared" si="2"/>
        <v>0</v>
      </c>
      <c r="E57" s="162">
        <f t="shared" si="2"/>
        <v>0</v>
      </c>
      <c r="F57" s="162">
        <f t="shared" si="2"/>
        <v>0</v>
      </c>
      <c r="G57" s="162">
        <f t="shared" si="2"/>
        <v>0</v>
      </c>
      <c r="H57" s="162">
        <f t="shared" si="2"/>
        <v>0</v>
      </c>
      <c r="I57" s="162">
        <f t="shared" si="2"/>
        <v>0</v>
      </c>
      <c r="J57" s="162">
        <f t="shared" si="2"/>
        <v>0</v>
      </c>
      <c r="K57" s="162">
        <f t="shared" si="2"/>
        <v>0</v>
      </c>
      <c r="L57" s="162">
        <f t="shared" si="2"/>
        <v>33</v>
      </c>
      <c r="M57" s="162">
        <f t="shared" si="2"/>
        <v>3558.1</v>
      </c>
      <c r="N57" s="162">
        <f aca="true" t="shared" si="3" ref="N57:AE57">SUM(N47:N56)</f>
        <v>0</v>
      </c>
      <c r="O57" s="162">
        <f t="shared" si="3"/>
        <v>0</v>
      </c>
      <c r="P57" s="162">
        <f t="shared" si="3"/>
        <v>0</v>
      </c>
      <c r="Q57" s="162">
        <f t="shared" si="3"/>
        <v>0</v>
      </c>
      <c r="R57" s="162">
        <f t="shared" si="3"/>
        <v>0</v>
      </c>
      <c r="S57" s="162">
        <f t="shared" si="3"/>
        <v>0</v>
      </c>
      <c r="T57" s="162">
        <f t="shared" si="3"/>
        <v>0</v>
      </c>
      <c r="U57" s="162">
        <f t="shared" si="3"/>
        <v>0</v>
      </c>
      <c r="V57" s="162">
        <f t="shared" si="3"/>
        <v>0</v>
      </c>
      <c r="W57" s="162">
        <f t="shared" si="3"/>
        <v>0</v>
      </c>
      <c r="X57" s="162">
        <f t="shared" si="3"/>
        <v>0</v>
      </c>
      <c r="Y57" s="162">
        <f t="shared" si="3"/>
        <v>0</v>
      </c>
      <c r="Z57" s="162">
        <f t="shared" si="3"/>
        <v>0</v>
      </c>
      <c r="AA57" s="162">
        <f t="shared" si="3"/>
        <v>0</v>
      </c>
      <c r="AB57" s="162">
        <f t="shared" si="3"/>
        <v>0</v>
      </c>
      <c r="AC57" s="162">
        <f t="shared" si="3"/>
        <v>0</v>
      </c>
      <c r="AD57" s="162">
        <f t="shared" si="3"/>
        <v>0</v>
      </c>
      <c r="AE57" s="162">
        <f t="shared" si="3"/>
        <v>0</v>
      </c>
      <c r="AF57" s="1068">
        <f>SUM(B57,D57,F57,H57,J57,L57,N57,P57,R57,T57,X57,V57,Z57,AB57,AD57)</f>
        <v>40</v>
      </c>
      <c r="AG57" s="1069">
        <f>SUM(C57,E57,G57,I57,K57,M57,O57,Q57,S57,U57,Y57,W57,AA57,AC57,AE57)</f>
        <v>4309.7</v>
      </c>
      <c r="AH57" s="42"/>
      <c r="AI57" s="42"/>
      <c r="AJ57" s="42"/>
    </row>
    <row r="58" spans="2:33" ht="25.5" customHeight="1">
      <c r="B58" s="91"/>
      <c r="C58" s="381"/>
      <c r="E58" s="325"/>
      <c r="G58" s="325"/>
      <c r="I58" s="325"/>
      <c r="K58" s="325"/>
      <c r="M58" s="325"/>
      <c r="O58" s="325"/>
      <c r="Q58" s="325"/>
      <c r="S58" s="325"/>
      <c r="U58" s="325"/>
      <c r="W58" s="325"/>
      <c r="Y58" s="325"/>
      <c r="AA58" s="325"/>
      <c r="AC58" s="325"/>
      <c r="AE58" s="325"/>
      <c r="AF58" s="228"/>
      <c r="AG58" s="455"/>
    </row>
    <row r="59" spans="2:33" ht="25.5" customHeight="1">
      <c r="B59" s="91"/>
      <c r="C59" s="381"/>
      <c r="E59" s="325"/>
      <c r="G59" s="325"/>
      <c r="I59" s="325"/>
      <c r="K59" s="325"/>
      <c r="M59" s="325"/>
      <c r="O59" s="325"/>
      <c r="Q59" s="325"/>
      <c r="S59" s="325"/>
      <c r="U59" s="325"/>
      <c r="W59" s="325"/>
      <c r="Y59" s="325"/>
      <c r="AA59" s="325"/>
      <c r="AC59" s="325"/>
      <c r="AE59" s="325"/>
      <c r="AG59" s="455"/>
    </row>
    <row r="60" spans="2:33" ht="25.5" customHeight="1">
      <c r="B60" s="91"/>
      <c r="C60" s="381"/>
      <c r="E60" s="325"/>
      <c r="G60" s="325"/>
      <c r="I60" s="325"/>
      <c r="K60" s="325"/>
      <c r="M60" s="325"/>
      <c r="O60" s="325"/>
      <c r="Q60" s="325"/>
      <c r="S60" s="325"/>
      <c r="U60" s="325"/>
      <c r="W60" s="325"/>
      <c r="Y60" s="325"/>
      <c r="AA60" s="325"/>
      <c r="AC60" s="325"/>
      <c r="AE60" s="325"/>
      <c r="AG60" s="455"/>
    </row>
    <row r="61" spans="2:33" ht="25.5" customHeight="1">
      <c r="B61" s="91"/>
      <c r="C61" s="381"/>
      <c r="E61" s="325"/>
      <c r="G61" s="325"/>
      <c r="I61" s="325"/>
      <c r="K61" s="325"/>
      <c r="M61" s="325"/>
      <c r="O61" s="325"/>
      <c r="Q61" s="325"/>
      <c r="S61" s="325"/>
      <c r="U61" s="325"/>
      <c r="W61" s="325"/>
      <c r="Y61" s="325"/>
      <c r="AA61" s="325"/>
      <c r="AC61" s="325"/>
      <c r="AE61" s="325"/>
      <c r="AG61" s="455"/>
    </row>
    <row r="62" spans="2:33" ht="20.25" customHeight="1">
      <c r="B62" s="91"/>
      <c r="C62" s="381"/>
      <c r="E62" s="325"/>
      <c r="G62" s="325"/>
      <c r="I62" s="325"/>
      <c r="K62" s="325"/>
      <c r="M62" s="325"/>
      <c r="O62" s="325"/>
      <c r="Q62" s="325"/>
      <c r="S62" s="325"/>
      <c r="U62" s="325"/>
      <c r="W62" s="325"/>
      <c r="Y62" s="325"/>
      <c r="AA62" s="325"/>
      <c r="AC62" s="325"/>
      <c r="AE62" s="325"/>
      <c r="AG62" s="455"/>
    </row>
    <row r="63" spans="2:33" ht="20.25" customHeight="1">
      <c r="B63" s="91"/>
      <c r="C63" s="381"/>
      <c r="E63" s="325"/>
      <c r="G63" s="325"/>
      <c r="I63" s="325"/>
      <c r="K63" s="325"/>
      <c r="M63" s="325"/>
      <c r="O63" s="325"/>
      <c r="Q63" s="325"/>
      <c r="S63" s="325"/>
      <c r="U63" s="325"/>
      <c r="W63" s="325"/>
      <c r="Y63" s="325"/>
      <c r="AA63" s="325"/>
      <c r="AC63" s="325"/>
      <c r="AE63" s="325"/>
      <c r="AG63" s="455"/>
    </row>
    <row r="64" spans="2:33" ht="20.25" customHeight="1">
      <c r="B64" s="91"/>
      <c r="C64" s="381"/>
      <c r="E64" s="325"/>
      <c r="G64" s="325"/>
      <c r="I64" s="325"/>
      <c r="K64" s="325"/>
      <c r="M64" s="325"/>
      <c r="O64" s="325"/>
      <c r="Q64" s="325"/>
      <c r="S64" s="325"/>
      <c r="U64" s="325"/>
      <c r="W64" s="325"/>
      <c r="Y64" s="325"/>
      <c r="AA64" s="325"/>
      <c r="AC64" s="325"/>
      <c r="AE64" s="325"/>
      <c r="AG64" s="455"/>
    </row>
    <row r="65" spans="2:33" ht="20.25" customHeight="1">
      <c r="B65" s="91"/>
      <c r="C65" s="381"/>
      <c r="E65" s="325"/>
      <c r="G65" s="325"/>
      <c r="I65" s="325"/>
      <c r="K65" s="325"/>
      <c r="M65" s="325"/>
      <c r="O65" s="325"/>
      <c r="Q65" s="325"/>
      <c r="S65" s="325"/>
      <c r="U65" s="325"/>
      <c r="W65" s="325"/>
      <c r="Y65" s="325"/>
      <c r="AA65" s="325"/>
      <c r="AC65" s="325"/>
      <c r="AE65" s="325"/>
      <c r="AG65" s="455"/>
    </row>
    <row r="66" spans="2:33" ht="24" customHeight="1">
      <c r="B66" s="91"/>
      <c r="C66" s="381"/>
      <c r="E66" s="325"/>
      <c r="G66" s="325"/>
      <c r="I66" s="325"/>
      <c r="K66" s="325"/>
      <c r="M66" s="325"/>
      <c r="O66" s="325"/>
      <c r="Q66" s="325"/>
      <c r="S66" s="325"/>
      <c r="U66" s="325"/>
      <c r="W66" s="325"/>
      <c r="Y66" s="325"/>
      <c r="AA66" s="325"/>
      <c r="AC66" s="325"/>
      <c r="AE66" s="325"/>
      <c r="AG66" s="455"/>
    </row>
    <row r="67" spans="2:33" ht="15">
      <c r="B67" s="91"/>
      <c r="C67" s="381"/>
      <c r="E67" s="325"/>
      <c r="G67" s="325"/>
      <c r="I67" s="325"/>
      <c r="K67" s="325"/>
      <c r="M67" s="325"/>
      <c r="O67" s="325"/>
      <c r="Q67" s="325"/>
      <c r="S67" s="325"/>
      <c r="U67" s="325"/>
      <c r="W67" s="325"/>
      <c r="Y67" s="325"/>
      <c r="AA67" s="325"/>
      <c r="AC67" s="325"/>
      <c r="AE67" s="325"/>
      <c r="AG67" s="455"/>
    </row>
    <row r="68" spans="2:33" ht="15">
      <c r="B68" s="91"/>
      <c r="C68" s="381"/>
      <c r="E68" s="325"/>
      <c r="G68" s="325"/>
      <c r="I68" s="325"/>
      <c r="K68" s="325"/>
      <c r="M68" s="325"/>
      <c r="O68" s="325"/>
      <c r="Q68" s="325"/>
      <c r="S68" s="325"/>
      <c r="U68" s="325"/>
      <c r="W68" s="325"/>
      <c r="Y68" s="325"/>
      <c r="AA68" s="325"/>
      <c r="AC68" s="325"/>
      <c r="AE68" s="325"/>
      <c r="AG68" s="455"/>
    </row>
    <row r="69" spans="2:33" ht="69" customHeight="1">
      <c r="B69" s="91"/>
      <c r="C69" s="381"/>
      <c r="E69" s="325"/>
      <c r="G69" s="325"/>
      <c r="I69" s="325"/>
      <c r="K69" s="325"/>
      <c r="M69" s="325"/>
      <c r="O69" s="325"/>
      <c r="Q69" s="325"/>
      <c r="S69" s="325"/>
      <c r="U69" s="325"/>
      <c r="W69" s="325"/>
      <c r="Y69" s="325"/>
      <c r="AA69" s="325"/>
      <c r="AC69" s="325"/>
      <c r="AE69" s="325"/>
      <c r="AG69" s="455"/>
    </row>
    <row r="70" spans="2:33" ht="21.75" customHeight="1">
      <c r="B70" s="91"/>
      <c r="C70" s="381"/>
      <c r="E70" s="325"/>
      <c r="G70" s="325"/>
      <c r="I70" s="325"/>
      <c r="K70" s="325"/>
      <c r="M70" s="325"/>
      <c r="O70" s="325"/>
      <c r="Q70" s="325"/>
      <c r="S70" s="325"/>
      <c r="U70" s="325"/>
      <c r="W70" s="325"/>
      <c r="Y70" s="325"/>
      <c r="AA70" s="325"/>
      <c r="AC70" s="325"/>
      <c r="AE70" s="325"/>
      <c r="AG70" s="455"/>
    </row>
    <row r="71" spans="2:33" ht="27" customHeight="1">
      <c r="B71" s="91"/>
      <c r="C71" s="381"/>
      <c r="E71" s="325"/>
      <c r="G71" s="325"/>
      <c r="I71" s="325"/>
      <c r="K71" s="325"/>
      <c r="M71" s="325"/>
      <c r="O71" s="325"/>
      <c r="Q71" s="325"/>
      <c r="S71" s="325"/>
      <c r="U71" s="325"/>
      <c r="W71" s="325"/>
      <c r="Y71" s="325"/>
      <c r="AA71" s="325"/>
      <c r="AC71" s="325"/>
      <c r="AE71" s="325"/>
      <c r="AG71" s="455"/>
    </row>
    <row r="72" spans="2:33" ht="21" customHeight="1">
      <c r="B72" s="91"/>
      <c r="C72" s="381"/>
      <c r="E72" s="325"/>
      <c r="G72" s="325"/>
      <c r="I72" s="325"/>
      <c r="K72" s="325"/>
      <c r="M72" s="325"/>
      <c r="O72" s="325"/>
      <c r="Q72" s="325"/>
      <c r="S72" s="325"/>
      <c r="U72" s="325"/>
      <c r="W72" s="325"/>
      <c r="Y72" s="325"/>
      <c r="AA72" s="325"/>
      <c r="AC72" s="325"/>
      <c r="AE72" s="325"/>
      <c r="AG72" s="455"/>
    </row>
    <row r="73" spans="2:33" ht="20.25" customHeight="1">
      <c r="B73" s="91"/>
      <c r="C73" s="381"/>
      <c r="E73" s="325"/>
      <c r="G73" s="325"/>
      <c r="I73" s="325"/>
      <c r="K73" s="325"/>
      <c r="M73" s="325"/>
      <c r="O73" s="325"/>
      <c r="Q73" s="325"/>
      <c r="S73" s="325"/>
      <c r="U73" s="325"/>
      <c r="W73" s="325"/>
      <c r="Y73" s="325"/>
      <c r="AA73" s="325"/>
      <c r="AC73" s="325"/>
      <c r="AE73" s="325"/>
      <c r="AG73" s="455"/>
    </row>
    <row r="74" spans="2:33" ht="20.25" customHeight="1">
      <c r="B74" s="91"/>
      <c r="C74" s="381"/>
      <c r="E74" s="325"/>
      <c r="G74" s="325"/>
      <c r="I74" s="325"/>
      <c r="K74" s="325"/>
      <c r="M74" s="325"/>
      <c r="O74" s="325"/>
      <c r="Q74" s="325"/>
      <c r="S74" s="325"/>
      <c r="U74" s="325"/>
      <c r="W74" s="325"/>
      <c r="Y74" s="325"/>
      <c r="AA74" s="325"/>
      <c r="AC74" s="325"/>
      <c r="AE74" s="325"/>
      <c r="AG74" s="455"/>
    </row>
    <row r="75" spans="2:33" ht="20.25" customHeight="1">
      <c r="B75" s="91"/>
      <c r="C75" s="381"/>
      <c r="E75" s="325"/>
      <c r="G75" s="325"/>
      <c r="I75" s="325"/>
      <c r="K75" s="325"/>
      <c r="M75" s="325"/>
      <c r="O75" s="325"/>
      <c r="Q75" s="325"/>
      <c r="S75" s="325"/>
      <c r="U75" s="325"/>
      <c r="W75" s="325"/>
      <c r="Y75" s="325"/>
      <c r="AA75" s="325"/>
      <c r="AC75" s="325"/>
      <c r="AE75" s="325"/>
      <c r="AG75" s="455"/>
    </row>
    <row r="76" spans="2:33" ht="20.25" customHeight="1">
      <c r="B76" s="91"/>
      <c r="C76" s="381"/>
      <c r="E76" s="325"/>
      <c r="G76" s="325"/>
      <c r="I76" s="325"/>
      <c r="K76" s="325"/>
      <c r="M76" s="325"/>
      <c r="O76" s="325"/>
      <c r="Q76" s="325"/>
      <c r="S76" s="325"/>
      <c r="U76" s="325"/>
      <c r="W76" s="325"/>
      <c r="Y76" s="325"/>
      <c r="AA76" s="325"/>
      <c r="AC76" s="325"/>
      <c r="AE76" s="325"/>
      <c r="AG76" s="455"/>
    </row>
    <row r="77" spans="2:33" ht="21.75" customHeight="1">
      <c r="B77" s="91"/>
      <c r="C77" s="381"/>
      <c r="E77" s="325"/>
      <c r="G77" s="325"/>
      <c r="I77" s="325"/>
      <c r="K77" s="325"/>
      <c r="M77" s="325"/>
      <c r="O77" s="325"/>
      <c r="Q77" s="325"/>
      <c r="S77" s="325"/>
      <c r="U77" s="325"/>
      <c r="W77" s="325"/>
      <c r="Y77" s="325"/>
      <c r="AA77" s="325"/>
      <c r="AC77" s="325"/>
      <c r="AE77" s="325"/>
      <c r="AG77" s="455"/>
    </row>
    <row r="78" spans="2:33" ht="20.25" customHeight="1">
      <c r="B78" s="91"/>
      <c r="C78" s="381"/>
      <c r="E78" s="325"/>
      <c r="G78" s="325"/>
      <c r="I78" s="325"/>
      <c r="K78" s="325"/>
      <c r="M78" s="325"/>
      <c r="O78" s="325"/>
      <c r="Q78" s="325"/>
      <c r="S78" s="325"/>
      <c r="U78" s="325"/>
      <c r="W78" s="325"/>
      <c r="Y78" s="325"/>
      <c r="AA78" s="325"/>
      <c r="AC78" s="325"/>
      <c r="AE78" s="325"/>
      <c r="AG78" s="455"/>
    </row>
    <row r="79" spans="2:33" ht="24" customHeight="1">
      <c r="B79" s="91"/>
      <c r="C79" s="381"/>
      <c r="E79" s="325"/>
      <c r="G79" s="325"/>
      <c r="I79" s="325"/>
      <c r="K79" s="325"/>
      <c r="M79" s="325"/>
      <c r="O79" s="325"/>
      <c r="Q79" s="325"/>
      <c r="S79" s="325"/>
      <c r="U79" s="325"/>
      <c r="W79" s="325"/>
      <c r="Y79" s="325"/>
      <c r="AA79" s="325"/>
      <c r="AC79" s="325"/>
      <c r="AE79" s="325"/>
      <c r="AG79" s="455"/>
    </row>
    <row r="80" spans="2:33" ht="15">
      <c r="B80" s="91"/>
      <c r="C80" s="381"/>
      <c r="E80" s="325"/>
      <c r="G80" s="325"/>
      <c r="I80" s="325"/>
      <c r="K80" s="325"/>
      <c r="M80" s="325"/>
      <c r="O80" s="325"/>
      <c r="Q80" s="325"/>
      <c r="S80" s="325"/>
      <c r="U80" s="325"/>
      <c r="W80" s="325"/>
      <c r="Y80" s="325"/>
      <c r="AA80" s="325"/>
      <c r="AC80" s="325"/>
      <c r="AE80" s="325"/>
      <c r="AG80" s="455"/>
    </row>
    <row r="81" spans="34:37" ht="21.75">
      <c r="AH81" s="153" t="e">
        <f>SUM(#REF!,#REF!)</f>
        <v>#REF!</v>
      </c>
      <c r="AI81" s="153" t="e">
        <f>SUM(#REF!,#REF!,AI66,AI79)</f>
        <v>#REF!</v>
      </c>
      <c r="AK81" s="140">
        <f>78832*110%</f>
        <v>86715.20000000001</v>
      </c>
    </row>
    <row r="902" ht="21.75">
      <c r="U902" s="387" t="s">
        <v>465</v>
      </c>
    </row>
    <row r="927" ht="21.75">
      <c r="U927" s="387" t="s">
        <v>466</v>
      </c>
    </row>
    <row r="962" ht="21.75">
      <c r="U962" s="1078" t="s">
        <v>467</v>
      </c>
    </row>
    <row r="1023" ht="21.75">
      <c r="U1023" s="387" t="s">
        <v>468</v>
      </c>
    </row>
    <row r="1024" ht="21.75">
      <c r="U1024" s="387" t="s">
        <v>469</v>
      </c>
    </row>
  </sheetData>
  <sheetProtection/>
  <mergeCells count="64">
    <mergeCell ref="D44:E44"/>
    <mergeCell ref="F44:G44"/>
    <mergeCell ref="H33:I33"/>
    <mergeCell ref="AF18:AG18"/>
    <mergeCell ref="X18:Y18"/>
    <mergeCell ref="Z18:AA18"/>
    <mergeCell ref="AB18:AC18"/>
    <mergeCell ref="AD18:AE18"/>
    <mergeCell ref="R18:S18"/>
    <mergeCell ref="T18:U18"/>
    <mergeCell ref="H44:I44"/>
    <mergeCell ref="N44:O44"/>
    <mergeCell ref="L44:M44"/>
    <mergeCell ref="R44:S44"/>
    <mergeCell ref="AF44:AG44"/>
    <mergeCell ref="D18:E18"/>
    <mergeCell ref="F18:G18"/>
    <mergeCell ref="H18:I18"/>
    <mergeCell ref="J18:K18"/>
    <mergeCell ref="J44:K44"/>
    <mergeCell ref="AF33:AG33"/>
    <mergeCell ref="Z44:AA44"/>
    <mergeCell ref="AD44:AE44"/>
    <mergeCell ref="Z33:AA33"/>
    <mergeCell ref="AB33:AC33"/>
    <mergeCell ref="AD33:AE33"/>
    <mergeCell ref="AB44:AC44"/>
    <mergeCell ref="B33:C33"/>
    <mergeCell ref="A3:A4"/>
    <mergeCell ref="D3:E3"/>
    <mergeCell ref="F3:G3"/>
    <mergeCell ref="B3:C3"/>
    <mergeCell ref="A33:A34"/>
    <mergeCell ref="D33:E33"/>
    <mergeCell ref="F33:G33"/>
    <mergeCell ref="A18:A19"/>
    <mergeCell ref="B18:C18"/>
    <mergeCell ref="A44:A45"/>
    <mergeCell ref="B44:C44"/>
    <mergeCell ref="AF3:AG3"/>
    <mergeCell ref="T3:U3"/>
    <mergeCell ref="V3:W3"/>
    <mergeCell ref="Z3:AA3"/>
    <mergeCell ref="AD3:AE3"/>
    <mergeCell ref="AB3:AC3"/>
    <mergeCell ref="H3:I3"/>
    <mergeCell ref="N3:O3"/>
    <mergeCell ref="R3:S3"/>
    <mergeCell ref="L3:M3"/>
    <mergeCell ref="N33:O33"/>
    <mergeCell ref="R33:S33"/>
    <mergeCell ref="J3:K3"/>
    <mergeCell ref="L33:M33"/>
    <mergeCell ref="J33:K33"/>
    <mergeCell ref="L18:M18"/>
    <mergeCell ref="N18:O18"/>
    <mergeCell ref="T33:U33"/>
    <mergeCell ref="V33:W33"/>
    <mergeCell ref="T44:U44"/>
    <mergeCell ref="V44:W44"/>
    <mergeCell ref="X3:Y3"/>
    <mergeCell ref="X33:Y33"/>
    <mergeCell ref="V18:W18"/>
    <mergeCell ref="X44:Y44"/>
  </mergeCells>
  <hyperlinks>
    <hyperlink ref="U962" r:id="rId1" display="\\\\\\\\\\\\\\\\\\\\\\\\\\\\\\\\\\\\\\\\\\\\\\\\\\\\\\\\\"/>
  </hyperlinks>
  <printOptions horizontalCentered="1"/>
  <pageMargins left="0" right="0" top="0.5511811023622047" bottom="0.1968503937007874" header="0.15748031496062992" footer="0.2755905511811024"/>
  <pageSetup horizontalDpi="600" verticalDpi="600" orientation="landscape" paperSize="9" scale="70" r:id="rId2"/>
</worksheet>
</file>

<file path=xl/worksheets/sheet2.xml><?xml version="1.0" encoding="utf-8"?>
<worksheet xmlns="http://schemas.openxmlformats.org/spreadsheetml/2006/main" xmlns:r="http://schemas.openxmlformats.org/officeDocument/2006/relationships">
  <sheetPr>
    <tabColor indexed="9"/>
  </sheetPr>
  <dimension ref="A1:AM152"/>
  <sheetViews>
    <sheetView showRowColHeaders="0" zoomScalePageLayoutView="0" workbookViewId="0" topLeftCell="A1">
      <pane xSplit="1" ySplit="3" topLeftCell="B34" activePane="bottomRight" state="frozen"/>
      <selection pane="topLeft" activeCell="A1" sqref="A1"/>
      <selection pane="topRight" activeCell="B1" sqref="B1"/>
      <selection pane="bottomLeft" activeCell="A4" sqref="A4"/>
      <selection pane="bottomRight" activeCell="A100" sqref="A100"/>
    </sheetView>
  </sheetViews>
  <sheetFormatPr defaultColWidth="9.140625" defaultRowHeight="12.75"/>
  <cols>
    <col min="1" max="1" width="22.57421875" style="114" customWidth="1"/>
    <col min="2" max="2" width="4.00390625" style="501" bestFit="1" customWidth="1"/>
    <col min="3" max="3" width="9.8515625" style="496" customWidth="1"/>
    <col min="4" max="4" width="3.28125" style="503" customWidth="1"/>
    <col min="5" max="5" width="8.140625" style="496" customWidth="1"/>
    <col min="6" max="6" width="3.140625" style="503" customWidth="1"/>
    <col min="7" max="7" width="9.28125" style="496" bestFit="1" customWidth="1"/>
    <col min="8" max="8" width="4.7109375" style="509" customWidth="1"/>
    <col min="9" max="9" width="9.421875" style="451" customWidth="1"/>
    <col min="10" max="10" width="3.57421875" style="512" customWidth="1"/>
    <col min="11" max="11" width="9.28125" style="451" bestFit="1" customWidth="1"/>
    <col min="12" max="12" width="4.140625" style="512" customWidth="1"/>
    <col min="13" max="13" width="8.28125" style="451" bestFit="1" customWidth="1"/>
    <col min="14" max="14" width="3.8515625" style="512" customWidth="1"/>
    <col min="15" max="15" width="8.28125" style="451" bestFit="1" customWidth="1"/>
    <col min="16" max="16" width="3.7109375" style="512" customWidth="1"/>
    <col min="17" max="17" width="9.421875" style="492" customWidth="1"/>
    <col min="18" max="18" width="3.421875" style="509" customWidth="1"/>
    <col min="19" max="19" width="8.140625" style="513" customWidth="1"/>
    <col min="20" max="20" width="3.8515625" style="509" customWidth="1"/>
    <col min="21" max="21" width="6.28125" style="513" customWidth="1"/>
    <col min="22" max="22" width="5.00390625" style="509" bestFit="1" customWidth="1"/>
    <col min="23" max="23" width="9.28125" style="513" bestFit="1" customWidth="1"/>
    <col min="24" max="24" width="4.421875" style="509" customWidth="1"/>
    <col min="25" max="25" width="9.28125" style="513" bestFit="1" customWidth="1"/>
    <col min="26" max="26" width="4.57421875" style="501" customWidth="1"/>
    <col min="27" max="27" width="9.28125" style="492" bestFit="1" customWidth="1"/>
    <col min="28" max="28" width="3.57421875" style="501" customWidth="1"/>
    <col min="29" max="29" width="8.28125" style="492" bestFit="1" customWidth="1"/>
    <col min="30" max="30" width="4.140625" style="501" customWidth="1"/>
    <col min="31" max="31" width="9.28125" style="492" customWidth="1"/>
    <col min="32" max="32" width="3.57421875" style="501" customWidth="1"/>
    <col min="33" max="33" width="8.28125" style="492" bestFit="1" customWidth="1"/>
    <col min="34" max="34" width="3.7109375" style="503" customWidth="1"/>
    <col min="35" max="35" width="9.28125" style="492" bestFit="1" customWidth="1"/>
    <col min="36" max="36" width="3.7109375" style="503" customWidth="1"/>
    <col min="37" max="37" width="8.28125" style="492" customWidth="1"/>
    <col min="38" max="38" width="6.421875" style="503" customWidth="1"/>
    <col min="39" max="39" width="10.28125" style="513" customWidth="1"/>
    <col min="40" max="16384" width="9.140625" style="114" customWidth="1"/>
  </cols>
  <sheetData>
    <row r="1" spans="1:39" s="518" customFormat="1" ht="75.75" customHeight="1" thickBot="1">
      <c r="A1" s="1131" t="s">
        <v>1</v>
      </c>
      <c r="B1" s="1133" t="s">
        <v>50</v>
      </c>
      <c r="C1" s="1133"/>
      <c r="D1" s="1133" t="s">
        <v>125</v>
      </c>
      <c r="E1" s="1133"/>
      <c r="F1" s="1134" t="s">
        <v>90</v>
      </c>
      <c r="G1" s="1134"/>
      <c r="H1" s="1136" t="s">
        <v>52</v>
      </c>
      <c r="I1" s="1136"/>
      <c r="J1" s="1134" t="s">
        <v>140</v>
      </c>
      <c r="K1" s="1134"/>
      <c r="L1" s="1136" t="s">
        <v>111</v>
      </c>
      <c r="M1" s="1136"/>
      <c r="N1" s="1135" t="s">
        <v>53</v>
      </c>
      <c r="O1" s="1135"/>
      <c r="P1" s="1135" t="s">
        <v>54</v>
      </c>
      <c r="Q1" s="1135"/>
      <c r="R1" s="1136" t="s">
        <v>115</v>
      </c>
      <c r="S1" s="1136"/>
      <c r="T1" s="1137" t="s">
        <v>55</v>
      </c>
      <c r="U1" s="1137"/>
      <c r="V1" s="1137" t="s">
        <v>91</v>
      </c>
      <c r="W1" s="1137"/>
      <c r="X1" s="1138" t="s">
        <v>57</v>
      </c>
      <c r="Y1" s="1138"/>
      <c r="Z1" s="1138" t="s">
        <v>58</v>
      </c>
      <c r="AA1" s="1138"/>
      <c r="AB1" s="1138" t="s">
        <v>59</v>
      </c>
      <c r="AC1" s="1138"/>
      <c r="AD1" s="1138" t="s">
        <v>60</v>
      </c>
      <c r="AE1" s="1138"/>
      <c r="AF1" s="1138" t="s">
        <v>61</v>
      </c>
      <c r="AG1" s="1138"/>
      <c r="AH1" s="1138" t="s">
        <v>71</v>
      </c>
      <c r="AI1" s="1138"/>
      <c r="AJ1" s="1138" t="s">
        <v>62</v>
      </c>
      <c r="AK1" s="1138"/>
      <c r="AL1" s="1130" t="s">
        <v>481</v>
      </c>
      <c r="AM1" s="1130"/>
    </row>
    <row r="2" spans="1:39" s="167" customFormat="1" ht="21.75" customHeight="1" thickBot="1">
      <c r="A2" s="1132"/>
      <c r="B2" s="1086" t="s">
        <v>474</v>
      </c>
      <c r="C2" s="1087" t="s">
        <v>475</v>
      </c>
      <c r="D2" s="1086" t="s">
        <v>474</v>
      </c>
      <c r="E2" s="1087" t="s">
        <v>475</v>
      </c>
      <c r="F2" s="1086" t="s">
        <v>474</v>
      </c>
      <c r="G2" s="1087" t="s">
        <v>475</v>
      </c>
      <c r="H2" s="1086" t="s">
        <v>474</v>
      </c>
      <c r="I2" s="1087" t="s">
        <v>475</v>
      </c>
      <c r="J2" s="1086" t="s">
        <v>474</v>
      </c>
      <c r="K2" s="1087" t="s">
        <v>475</v>
      </c>
      <c r="L2" s="1086" t="s">
        <v>474</v>
      </c>
      <c r="M2" s="1087" t="s">
        <v>475</v>
      </c>
      <c r="N2" s="1086" t="s">
        <v>474</v>
      </c>
      <c r="O2" s="1087" t="s">
        <v>475</v>
      </c>
      <c r="P2" s="1086" t="s">
        <v>474</v>
      </c>
      <c r="Q2" s="1087" t="s">
        <v>475</v>
      </c>
      <c r="R2" s="1086" t="s">
        <v>474</v>
      </c>
      <c r="S2" s="1087" t="s">
        <v>475</v>
      </c>
      <c r="T2" s="1086" t="s">
        <v>474</v>
      </c>
      <c r="U2" s="1087" t="s">
        <v>475</v>
      </c>
      <c r="V2" s="1086" t="s">
        <v>474</v>
      </c>
      <c r="W2" s="1087" t="s">
        <v>475</v>
      </c>
      <c r="X2" s="1086" t="s">
        <v>474</v>
      </c>
      <c r="Y2" s="1087" t="s">
        <v>475</v>
      </c>
      <c r="Z2" s="1086" t="s">
        <v>474</v>
      </c>
      <c r="AA2" s="1087" t="s">
        <v>475</v>
      </c>
      <c r="AB2" s="1086" t="s">
        <v>474</v>
      </c>
      <c r="AC2" s="1087" t="s">
        <v>475</v>
      </c>
      <c r="AD2" s="1086" t="s">
        <v>474</v>
      </c>
      <c r="AE2" s="1087" t="s">
        <v>475</v>
      </c>
      <c r="AF2" s="1086" t="s">
        <v>474</v>
      </c>
      <c r="AG2" s="1087" t="s">
        <v>475</v>
      </c>
      <c r="AH2" s="1086" t="s">
        <v>474</v>
      </c>
      <c r="AI2" s="1087" t="s">
        <v>475</v>
      </c>
      <c r="AJ2" s="1086" t="s">
        <v>474</v>
      </c>
      <c r="AK2" s="1087" t="s">
        <v>475</v>
      </c>
      <c r="AL2" s="1086" t="s">
        <v>474</v>
      </c>
      <c r="AM2" s="1087" t="s">
        <v>475</v>
      </c>
    </row>
    <row r="3" spans="1:39" s="59" customFormat="1" ht="19.5" customHeight="1">
      <c r="A3" s="520" t="s">
        <v>506</v>
      </c>
      <c r="B3" s="550"/>
      <c r="C3" s="551"/>
      <c r="D3" s="552"/>
      <c r="E3" s="551"/>
      <c r="F3" s="552"/>
      <c r="G3" s="551"/>
      <c r="H3" s="553"/>
      <c r="I3" s="554"/>
      <c r="J3" s="553"/>
      <c r="K3" s="554"/>
      <c r="L3" s="553"/>
      <c r="M3" s="554"/>
      <c r="N3" s="553"/>
      <c r="O3" s="554"/>
      <c r="P3" s="553"/>
      <c r="Q3" s="551"/>
      <c r="R3" s="553"/>
      <c r="S3" s="554"/>
      <c r="T3" s="553"/>
      <c r="U3" s="554"/>
      <c r="V3" s="554"/>
      <c r="W3" s="554"/>
      <c r="X3" s="553"/>
      <c r="Y3" s="554"/>
      <c r="Z3" s="552"/>
      <c r="AA3" s="551"/>
      <c r="AB3" s="552"/>
      <c r="AC3" s="551"/>
      <c r="AD3" s="552"/>
      <c r="AE3" s="551"/>
      <c r="AF3" s="552"/>
      <c r="AG3" s="551"/>
      <c r="AH3" s="552"/>
      <c r="AI3" s="551"/>
      <c r="AJ3" s="552"/>
      <c r="AK3" s="551"/>
      <c r="AL3" s="552"/>
      <c r="AM3" s="554"/>
    </row>
    <row r="4" spans="1:39" s="59" customFormat="1" ht="19.5" customHeight="1">
      <c r="A4" s="10" t="s">
        <v>2</v>
      </c>
      <c r="B4" s="497">
        <f>1+2+17+13</f>
        <v>33</v>
      </c>
      <c r="C4" s="493">
        <f>337+200.5+1028.4+1070.3</f>
        <v>2636.2</v>
      </c>
      <c r="D4" s="497"/>
      <c r="E4" s="493"/>
      <c r="F4" s="497">
        <v>3</v>
      </c>
      <c r="G4" s="493">
        <v>499.3</v>
      </c>
      <c r="H4" s="504">
        <v>4</v>
      </c>
      <c r="I4" s="415">
        <v>1218.4</v>
      </c>
      <c r="J4" s="504">
        <f>9+2+4+3</f>
        <v>18</v>
      </c>
      <c r="K4" s="415">
        <f>318.7+189.7+573.6+192</f>
        <v>1274</v>
      </c>
      <c r="L4" s="504">
        <f>1+6</f>
        <v>7</v>
      </c>
      <c r="M4" s="415">
        <f>104.1+279.6</f>
        <v>383.70000000000005</v>
      </c>
      <c r="N4" s="504">
        <f>3</f>
        <v>3</v>
      </c>
      <c r="O4" s="415">
        <f>250.9</f>
        <v>250.9</v>
      </c>
      <c r="P4" s="504"/>
      <c r="Q4" s="493">
        <v>97.9</v>
      </c>
      <c r="R4" s="504"/>
      <c r="S4" s="415"/>
      <c r="T4" s="504">
        <f>30+11</f>
        <v>41</v>
      </c>
      <c r="U4" s="415">
        <f>5099+1087.1</f>
        <v>6186.1</v>
      </c>
      <c r="V4" s="504">
        <f>1+4</f>
        <v>5</v>
      </c>
      <c r="W4" s="415">
        <f>69.3+98</f>
        <v>167.3</v>
      </c>
      <c r="X4" s="497">
        <f>29+1+4</f>
        <v>34</v>
      </c>
      <c r="Y4" s="493">
        <f>2939.7+96.3+233.4</f>
        <v>3269.4</v>
      </c>
      <c r="Z4" s="497">
        <f>1+4+42</f>
        <v>47</v>
      </c>
      <c r="AA4" s="493">
        <f>25436.5+111.4+412.9+203.3+829.1</f>
        <v>26993.2</v>
      </c>
      <c r="AB4" s="497"/>
      <c r="AC4" s="493"/>
      <c r="AD4" s="504">
        <f>11+1+1+8+6</f>
        <v>27</v>
      </c>
      <c r="AE4" s="415">
        <f>663.6+221.5+174.1+244+369</f>
        <v>1672.2</v>
      </c>
      <c r="AF4" s="504">
        <v>2</v>
      </c>
      <c r="AG4" s="415">
        <v>319.8</v>
      </c>
      <c r="AH4" s="504">
        <v>20</v>
      </c>
      <c r="AI4" s="415">
        <v>1129</v>
      </c>
      <c r="AJ4" s="504"/>
      <c r="AK4" s="415"/>
      <c r="AL4" s="514">
        <f aca="true" t="shared" si="0" ref="AL4:AM7">SUM(B4,D4,F4,H4,J4,L4,N4,P4,R4,T4,V4,Z4,X4,AB4,AD4,AF4,AH4,AJ4)</f>
        <v>244</v>
      </c>
      <c r="AM4" s="516">
        <f t="shared" si="0"/>
        <v>46097.4</v>
      </c>
    </row>
    <row r="5" spans="1:39" s="96" customFormat="1" ht="19.5" customHeight="1">
      <c r="A5" s="10" t="s">
        <v>4</v>
      </c>
      <c r="B5" s="497">
        <f>49+1+25+27</f>
        <v>102</v>
      </c>
      <c r="C5" s="493">
        <f>19981.6+98.6+2135.5+3841</f>
        <v>26056.699999999997</v>
      </c>
      <c r="D5" s="497">
        <v>11</v>
      </c>
      <c r="E5" s="493">
        <v>2361.3</v>
      </c>
      <c r="F5" s="497">
        <v>3</v>
      </c>
      <c r="G5" s="493">
        <f>776.6+261.6</f>
        <v>1038.2</v>
      </c>
      <c r="H5" s="504">
        <f>255+1</f>
        <v>256</v>
      </c>
      <c r="I5" s="415">
        <f>24164.9+128</f>
        <v>24292.9</v>
      </c>
      <c r="J5" s="504">
        <f>7+2+4+3</f>
        <v>16</v>
      </c>
      <c r="K5" s="415">
        <f>1198.3+299.7+573.6+146.9</f>
        <v>2218.5</v>
      </c>
      <c r="L5" s="504">
        <f>1+2+19</f>
        <v>22</v>
      </c>
      <c r="M5" s="415">
        <f>419+207.4+1020.3</f>
        <v>1646.6999999999998</v>
      </c>
      <c r="N5" s="504">
        <f>8</f>
        <v>8</v>
      </c>
      <c r="O5" s="415">
        <f>1261.5</f>
        <v>1261.5</v>
      </c>
      <c r="P5" s="504">
        <v>4</v>
      </c>
      <c r="Q5" s="493">
        <f>288+1432.5</f>
        <v>1720.5</v>
      </c>
      <c r="R5" s="504">
        <v>31</v>
      </c>
      <c r="S5" s="415">
        <f>3183.1+284.9</f>
        <v>3468</v>
      </c>
      <c r="T5" s="504">
        <f>1+11</f>
        <v>12</v>
      </c>
      <c r="U5" s="415">
        <f>79.3+1084</f>
        <v>1163.3</v>
      </c>
      <c r="V5" s="504">
        <f>16+2+7</f>
        <v>25</v>
      </c>
      <c r="W5" s="415">
        <f>4634.8+317.7+694.4</f>
        <v>5646.9</v>
      </c>
      <c r="X5" s="497">
        <f>56+4+5+5</f>
        <v>70</v>
      </c>
      <c r="Y5" s="493">
        <f>7537.2+403.5+239.5+474.7</f>
        <v>8654.9</v>
      </c>
      <c r="Z5" s="497">
        <f>67+1+10</f>
        <v>78</v>
      </c>
      <c r="AA5" s="493">
        <f>6487.2+331.2+30.6+1030.6</f>
        <v>7879.6</v>
      </c>
      <c r="AB5" s="497">
        <f>2+1</f>
        <v>3</v>
      </c>
      <c r="AC5" s="493">
        <f>815.7+101.9</f>
        <v>917.6</v>
      </c>
      <c r="AD5" s="504">
        <f>18+1+6+6</f>
        <v>31</v>
      </c>
      <c r="AE5" s="415">
        <f>3933+195+253.2+372.6</f>
        <v>4753.8</v>
      </c>
      <c r="AF5" s="504">
        <v>17</v>
      </c>
      <c r="AG5" s="415">
        <f>1670.3+145.5</f>
        <v>1815.8</v>
      </c>
      <c r="AH5" s="504">
        <f>31+1</f>
        <v>32</v>
      </c>
      <c r="AI5" s="415">
        <f>3774.2+474.1</f>
        <v>4248.3</v>
      </c>
      <c r="AJ5" s="504">
        <f>4</f>
        <v>4</v>
      </c>
      <c r="AK5" s="415">
        <f>159.6</f>
        <v>159.6</v>
      </c>
      <c r="AL5" s="514">
        <f t="shared" si="0"/>
        <v>725</v>
      </c>
      <c r="AM5" s="516">
        <f t="shared" si="0"/>
        <v>99304.10000000002</v>
      </c>
    </row>
    <row r="6" spans="1:39" s="59" customFormat="1" ht="19.5" customHeight="1">
      <c r="A6" s="10" t="s">
        <v>5</v>
      </c>
      <c r="B6" s="497">
        <f>5+4+6+23+27</f>
        <v>65</v>
      </c>
      <c r="C6" s="493">
        <f>1438.9+307+617.1+1627.1+3450.5</f>
        <v>7440.6</v>
      </c>
      <c r="D6" s="497"/>
      <c r="E6" s="493"/>
      <c r="F6" s="497"/>
      <c r="G6" s="493"/>
      <c r="H6" s="504">
        <v>13</v>
      </c>
      <c r="I6" s="415">
        <v>2456.9</v>
      </c>
      <c r="J6" s="504">
        <f>1+2+1</f>
        <v>4</v>
      </c>
      <c r="K6" s="415">
        <f>94.1+286.8+138.2</f>
        <v>519.0999999999999</v>
      </c>
      <c r="L6" s="504">
        <f>2+7</f>
        <v>9</v>
      </c>
      <c r="M6" s="415">
        <f>210.8+619.1</f>
        <v>829.9000000000001</v>
      </c>
      <c r="N6" s="504">
        <v>2</v>
      </c>
      <c r="O6" s="415">
        <f>641+171.6</f>
        <v>812.6</v>
      </c>
      <c r="P6" s="504">
        <v>10</v>
      </c>
      <c r="Q6" s="493">
        <v>2722.2</v>
      </c>
      <c r="R6" s="504"/>
      <c r="S6" s="415"/>
      <c r="T6" s="504"/>
      <c r="U6" s="415"/>
      <c r="V6" s="504">
        <f>6+5+1</f>
        <v>12</v>
      </c>
      <c r="W6" s="415">
        <f>121.5+869.6+180.6+447</f>
        <v>1618.7</v>
      </c>
      <c r="X6" s="497">
        <f>1+5+1+5</f>
        <v>12</v>
      </c>
      <c r="Y6" s="493">
        <f>526.2+586.9+100.8+279.5</f>
        <v>1493.3999999999999</v>
      </c>
      <c r="Z6" s="497">
        <f>4+6+2+9</f>
        <v>21</v>
      </c>
      <c r="AA6" s="493">
        <f>770.4+593.6+120.8+145.5</f>
        <v>1630.3</v>
      </c>
      <c r="AB6" s="497">
        <f>3+1</f>
        <v>4</v>
      </c>
      <c r="AC6" s="493">
        <f>421.2+155.7+60.4+135.4</f>
        <v>772.6999999999999</v>
      </c>
      <c r="AD6" s="504">
        <f>20+2+1+7+6</f>
        <v>36</v>
      </c>
      <c r="AE6" s="415">
        <f>15219.3+295.6+172.6+233+367.8</f>
        <v>16288.3</v>
      </c>
      <c r="AF6" s="504"/>
      <c r="AG6" s="415"/>
      <c r="AH6" s="504">
        <f>3+1</f>
        <v>4</v>
      </c>
      <c r="AI6" s="415">
        <f>765.2+45.5</f>
        <v>810.7</v>
      </c>
      <c r="AJ6" s="504">
        <v>4</v>
      </c>
      <c r="AK6" s="415">
        <v>160.4</v>
      </c>
      <c r="AL6" s="514">
        <f t="shared" si="0"/>
        <v>196</v>
      </c>
      <c r="AM6" s="516">
        <f t="shared" si="0"/>
        <v>37555.799999999996</v>
      </c>
    </row>
    <row r="7" spans="1:39" s="59" customFormat="1" ht="19.5" customHeight="1">
      <c r="A7" s="16" t="s">
        <v>6</v>
      </c>
      <c r="B7" s="498">
        <f>1+16+12</f>
        <v>29</v>
      </c>
      <c r="C7" s="494">
        <f>150.3+160.9+976.5+2264.3</f>
        <v>3552</v>
      </c>
      <c r="D7" s="498"/>
      <c r="E7" s="494"/>
      <c r="F7" s="498"/>
      <c r="G7" s="494"/>
      <c r="H7" s="505">
        <v>51</v>
      </c>
      <c r="I7" s="506">
        <v>6614.6</v>
      </c>
      <c r="J7" s="505">
        <f>4+8</f>
        <v>12</v>
      </c>
      <c r="K7" s="506">
        <f>573.6+551</f>
        <v>1124.6</v>
      </c>
      <c r="L7" s="505">
        <f>8+6</f>
        <v>14</v>
      </c>
      <c r="M7" s="506">
        <f>1140.5+262.2</f>
        <v>1402.7</v>
      </c>
      <c r="N7" s="505"/>
      <c r="O7" s="506"/>
      <c r="P7" s="505">
        <v>2</v>
      </c>
      <c r="Q7" s="494">
        <v>1968.9</v>
      </c>
      <c r="R7" s="505"/>
      <c r="S7" s="506"/>
      <c r="T7" s="505">
        <v>6</v>
      </c>
      <c r="U7" s="506">
        <v>594.9</v>
      </c>
      <c r="V7" s="505">
        <f>1+4</f>
        <v>5</v>
      </c>
      <c r="W7" s="506">
        <f>72.4+275.5</f>
        <v>347.9</v>
      </c>
      <c r="X7" s="498">
        <v>5</v>
      </c>
      <c r="Y7" s="494">
        <v>305.5</v>
      </c>
      <c r="Z7" s="498">
        <f>1+4</f>
        <v>5</v>
      </c>
      <c r="AA7" s="494">
        <f>35.3+53.5+30.8</f>
        <v>119.6</v>
      </c>
      <c r="AB7" s="498">
        <v>1</v>
      </c>
      <c r="AC7" s="494">
        <v>104.1</v>
      </c>
      <c r="AD7" s="505">
        <f>1+5+6</f>
        <v>12</v>
      </c>
      <c r="AE7" s="506">
        <f>79.6+211+382.8</f>
        <v>673.4000000000001</v>
      </c>
      <c r="AF7" s="505"/>
      <c r="AG7" s="506"/>
      <c r="AH7" s="505">
        <v>3</v>
      </c>
      <c r="AI7" s="506">
        <v>131.2</v>
      </c>
      <c r="AJ7" s="505"/>
      <c r="AK7" s="506"/>
      <c r="AL7" s="515">
        <f t="shared" si="0"/>
        <v>145</v>
      </c>
      <c r="AM7" s="517">
        <f t="shared" si="0"/>
        <v>16939.4</v>
      </c>
    </row>
    <row r="8" spans="1:39" s="59" customFormat="1" ht="19.5" customHeight="1">
      <c r="A8" s="527" t="s">
        <v>492</v>
      </c>
      <c r="B8" s="555"/>
      <c r="C8" s="556"/>
      <c r="D8" s="555"/>
      <c r="E8" s="556"/>
      <c r="F8" s="555"/>
      <c r="G8" s="556"/>
      <c r="H8" s="557"/>
      <c r="I8" s="558"/>
      <c r="J8" s="557"/>
      <c r="K8" s="558"/>
      <c r="L8" s="557"/>
      <c r="M8" s="558"/>
      <c r="N8" s="557"/>
      <c r="O8" s="558"/>
      <c r="P8" s="557"/>
      <c r="Q8" s="556"/>
      <c r="R8" s="557"/>
      <c r="S8" s="558"/>
      <c r="T8" s="557"/>
      <c r="U8" s="558"/>
      <c r="V8" s="557"/>
      <c r="W8" s="558"/>
      <c r="X8" s="557"/>
      <c r="Y8" s="558"/>
      <c r="Z8" s="555"/>
      <c r="AA8" s="556"/>
      <c r="AB8" s="555"/>
      <c r="AC8" s="556"/>
      <c r="AD8" s="555"/>
      <c r="AE8" s="556"/>
      <c r="AF8" s="555"/>
      <c r="AG8" s="556"/>
      <c r="AH8" s="555"/>
      <c r="AI8" s="556"/>
      <c r="AJ8" s="555"/>
      <c r="AK8" s="556"/>
      <c r="AL8" s="559"/>
      <c r="AM8" s="560"/>
    </row>
    <row r="9" spans="1:39" s="96" customFormat="1" ht="19.5" customHeight="1">
      <c r="A9" s="10" t="s">
        <v>145</v>
      </c>
      <c r="B9" s="497"/>
      <c r="C9" s="493"/>
      <c r="D9" s="497"/>
      <c r="E9" s="493"/>
      <c r="F9" s="497"/>
      <c r="G9" s="493"/>
      <c r="H9" s="504"/>
      <c r="I9" s="415"/>
      <c r="J9" s="504"/>
      <c r="K9" s="415"/>
      <c r="L9" s="504"/>
      <c r="M9" s="415"/>
      <c r="N9" s="504"/>
      <c r="O9" s="415"/>
      <c r="P9" s="504"/>
      <c r="Q9" s="493"/>
      <c r="R9" s="504"/>
      <c r="S9" s="415"/>
      <c r="T9" s="504"/>
      <c r="U9" s="415"/>
      <c r="V9" s="504">
        <v>1</v>
      </c>
      <c r="W9" s="415">
        <v>85.3</v>
      </c>
      <c r="X9" s="497"/>
      <c r="Y9" s="493"/>
      <c r="Z9" s="497"/>
      <c r="AA9" s="493"/>
      <c r="AB9" s="497"/>
      <c r="AC9" s="493"/>
      <c r="AD9" s="504"/>
      <c r="AE9" s="415"/>
      <c r="AF9" s="504"/>
      <c r="AG9" s="415"/>
      <c r="AH9" s="504"/>
      <c r="AI9" s="415"/>
      <c r="AJ9" s="504"/>
      <c r="AK9" s="415"/>
      <c r="AL9" s="514">
        <f aca="true" t="shared" si="1" ref="AL9:AM13">SUM(B9,D9,F9,H9,J9,L9,N9,P9,R9,T9,V9,Z9,X9,AB9,AD9,AF9,AH9,AJ9)</f>
        <v>1</v>
      </c>
      <c r="AM9" s="516">
        <f t="shared" si="1"/>
        <v>85.3</v>
      </c>
    </row>
    <row r="10" spans="1:39" s="59" customFormat="1" ht="19.5" customHeight="1">
      <c r="A10" s="10" t="s">
        <v>7</v>
      </c>
      <c r="B10" s="1074">
        <f>1+1</f>
        <v>2</v>
      </c>
      <c r="C10" s="1074">
        <f>73.2+134</f>
        <v>207.2</v>
      </c>
      <c r="D10" s="497"/>
      <c r="E10" s="493"/>
      <c r="F10" s="497"/>
      <c r="G10" s="493"/>
      <c r="H10" s="504"/>
      <c r="I10" s="415"/>
      <c r="J10" s="504"/>
      <c r="K10" s="415"/>
      <c r="L10" s="504"/>
      <c r="M10" s="415"/>
      <c r="N10" s="504"/>
      <c r="O10" s="415"/>
      <c r="P10" s="504"/>
      <c r="Q10" s="493"/>
      <c r="R10" s="504"/>
      <c r="S10" s="415"/>
      <c r="T10" s="504"/>
      <c r="U10" s="415"/>
      <c r="V10" s="504">
        <f>2+1</f>
        <v>3</v>
      </c>
      <c r="W10" s="415">
        <f>122.3+82.6</f>
        <v>204.89999999999998</v>
      </c>
      <c r="X10" s="497">
        <f>1</f>
        <v>1</v>
      </c>
      <c r="Y10" s="493">
        <f>102.6</f>
        <v>102.6</v>
      </c>
      <c r="Z10" s="497"/>
      <c r="AA10" s="493"/>
      <c r="AB10" s="497"/>
      <c r="AC10" s="493"/>
      <c r="AD10" s="504">
        <v>19</v>
      </c>
      <c r="AE10" s="415">
        <v>674.6</v>
      </c>
      <c r="AF10" s="504"/>
      <c r="AG10" s="415"/>
      <c r="AH10" s="504"/>
      <c r="AI10" s="415"/>
      <c r="AJ10" s="504"/>
      <c r="AK10" s="415"/>
      <c r="AL10" s="514">
        <f t="shared" si="1"/>
        <v>25</v>
      </c>
      <c r="AM10" s="516">
        <f t="shared" si="1"/>
        <v>1189.3</v>
      </c>
    </row>
    <row r="11" spans="1:39" s="59" customFormat="1" ht="19.5" customHeight="1">
      <c r="A11" s="10" t="s">
        <v>8</v>
      </c>
      <c r="B11" s="497"/>
      <c r="C11" s="493"/>
      <c r="D11" s="497"/>
      <c r="E11" s="493"/>
      <c r="F11" s="497"/>
      <c r="G11" s="493"/>
      <c r="H11" s="504"/>
      <c r="I11" s="415"/>
      <c r="J11" s="504"/>
      <c r="K11" s="415"/>
      <c r="L11" s="504">
        <v>3</v>
      </c>
      <c r="M11" s="415">
        <v>309.9</v>
      </c>
      <c r="N11" s="504"/>
      <c r="O11" s="415"/>
      <c r="P11" s="504"/>
      <c r="Q11" s="493"/>
      <c r="R11" s="504"/>
      <c r="S11" s="415"/>
      <c r="T11" s="504"/>
      <c r="U11" s="415"/>
      <c r="V11" s="504">
        <f>1+2</f>
        <v>3</v>
      </c>
      <c r="W11" s="415">
        <f>44.6+167.4</f>
        <v>212</v>
      </c>
      <c r="X11" s="497">
        <v>12</v>
      </c>
      <c r="Y11" s="493">
        <v>125.2</v>
      </c>
      <c r="Z11" s="497">
        <v>4</v>
      </c>
      <c r="AA11" s="493">
        <v>377.1</v>
      </c>
      <c r="AB11" s="497"/>
      <c r="AC11" s="493"/>
      <c r="AD11" s="504"/>
      <c r="AE11" s="415"/>
      <c r="AF11" s="504"/>
      <c r="AG11" s="415"/>
      <c r="AH11" s="504"/>
      <c r="AI11" s="415"/>
      <c r="AJ11" s="504"/>
      <c r="AK11" s="415"/>
      <c r="AL11" s="514">
        <f t="shared" si="1"/>
        <v>22</v>
      </c>
      <c r="AM11" s="516">
        <f t="shared" si="1"/>
        <v>1024.2</v>
      </c>
    </row>
    <row r="12" spans="1:39" s="59" customFormat="1" ht="19.5" customHeight="1">
      <c r="A12" s="10" t="s">
        <v>9</v>
      </c>
      <c r="B12" s="497">
        <f>2+2</f>
        <v>4</v>
      </c>
      <c r="C12" s="493">
        <f>204.3+272</f>
        <v>476.3</v>
      </c>
      <c r="D12" s="497"/>
      <c r="E12" s="493"/>
      <c r="F12" s="497"/>
      <c r="G12" s="493"/>
      <c r="H12" s="504"/>
      <c r="I12" s="415"/>
      <c r="J12" s="504"/>
      <c r="K12" s="415"/>
      <c r="L12" s="504">
        <v>2</v>
      </c>
      <c r="M12" s="415">
        <v>191.6</v>
      </c>
      <c r="N12" s="504"/>
      <c r="O12" s="415"/>
      <c r="P12" s="504"/>
      <c r="Q12" s="493"/>
      <c r="R12" s="504"/>
      <c r="S12" s="415"/>
      <c r="T12" s="504"/>
      <c r="U12" s="415"/>
      <c r="V12" s="504">
        <f>1+4+2</f>
        <v>7</v>
      </c>
      <c r="W12" s="415">
        <f>209.6+282.1+169.6</f>
        <v>661.3000000000001</v>
      </c>
      <c r="X12" s="497"/>
      <c r="Y12" s="493"/>
      <c r="Z12" s="497">
        <v>4</v>
      </c>
      <c r="AA12" s="493">
        <v>432.3</v>
      </c>
      <c r="AB12" s="497"/>
      <c r="AC12" s="493"/>
      <c r="AD12" s="504">
        <v>1</v>
      </c>
      <c r="AE12" s="415">
        <v>187.2</v>
      </c>
      <c r="AF12" s="504"/>
      <c r="AG12" s="415"/>
      <c r="AH12" s="504"/>
      <c r="AI12" s="415"/>
      <c r="AJ12" s="504"/>
      <c r="AK12" s="415"/>
      <c r="AL12" s="514">
        <f t="shared" si="1"/>
        <v>18</v>
      </c>
      <c r="AM12" s="516">
        <f t="shared" si="1"/>
        <v>1948.7</v>
      </c>
    </row>
    <row r="13" spans="1:39" s="59" customFormat="1" ht="19.5" customHeight="1">
      <c r="A13" s="16" t="s">
        <v>10</v>
      </c>
      <c r="B13" s="497">
        <f>23+1+2</f>
        <v>26</v>
      </c>
      <c r="C13" s="493">
        <f>3167.6+177+283.2</f>
        <v>3627.7999999999997</v>
      </c>
      <c r="D13" s="498"/>
      <c r="E13" s="494"/>
      <c r="F13" s="498"/>
      <c r="G13" s="494"/>
      <c r="H13" s="505"/>
      <c r="I13" s="506"/>
      <c r="J13" s="505"/>
      <c r="K13" s="506"/>
      <c r="L13" s="505"/>
      <c r="M13" s="506"/>
      <c r="N13" s="505">
        <v>2</v>
      </c>
      <c r="O13" s="506">
        <v>215.2</v>
      </c>
      <c r="P13" s="505"/>
      <c r="Q13" s="494"/>
      <c r="R13" s="505"/>
      <c r="S13" s="506"/>
      <c r="T13" s="505"/>
      <c r="U13" s="506"/>
      <c r="V13" s="505">
        <v>1</v>
      </c>
      <c r="W13" s="506">
        <v>85.5</v>
      </c>
      <c r="X13" s="498">
        <v>2</v>
      </c>
      <c r="Y13" s="494">
        <v>246.5</v>
      </c>
      <c r="Z13" s="498">
        <f>20+1+1</f>
        <v>22</v>
      </c>
      <c r="AA13" s="494">
        <f>2477.5+134.7+94.6</f>
        <v>2706.7999999999997</v>
      </c>
      <c r="AB13" s="498"/>
      <c r="AC13" s="494"/>
      <c r="AD13" s="505">
        <v>1</v>
      </c>
      <c r="AE13" s="506">
        <v>199.6</v>
      </c>
      <c r="AF13" s="505"/>
      <c r="AG13" s="506"/>
      <c r="AH13" s="505"/>
      <c r="AI13" s="506"/>
      <c r="AJ13" s="505"/>
      <c r="AK13" s="506"/>
      <c r="AL13" s="514">
        <f t="shared" si="1"/>
        <v>54</v>
      </c>
      <c r="AM13" s="516">
        <f t="shared" si="1"/>
        <v>7081.4</v>
      </c>
    </row>
    <row r="14" spans="1:39" s="96" customFormat="1" ht="19.5" customHeight="1">
      <c r="A14" s="520" t="s">
        <v>493</v>
      </c>
      <c r="B14" s="555"/>
      <c r="C14" s="556"/>
      <c r="D14" s="555"/>
      <c r="E14" s="556"/>
      <c r="F14" s="555"/>
      <c r="G14" s="556"/>
      <c r="H14" s="557"/>
      <c r="I14" s="558"/>
      <c r="J14" s="557"/>
      <c r="K14" s="558"/>
      <c r="L14" s="557"/>
      <c r="M14" s="558"/>
      <c r="N14" s="557"/>
      <c r="O14" s="558"/>
      <c r="P14" s="557"/>
      <c r="Q14" s="556"/>
      <c r="R14" s="557"/>
      <c r="S14" s="558"/>
      <c r="T14" s="557"/>
      <c r="U14" s="558"/>
      <c r="V14" s="557"/>
      <c r="W14" s="558"/>
      <c r="X14" s="557"/>
      <c r="Y14" s="558"/>
      <c r="Z14" s="555"/>
      <c r="AA14" s="556"/>
      <c r="AB14" s="555"/>
      <c r="AC14" s="556"/>
      <c r="AD14" s="555"/>
      <c r="AE14" s="556"/>
      <c r="AF14" s="555"/>
      <c r="AG14" s="556"/>
      <c r="AH14" s="555"/>
      <c r="AI14" s="556"/>
      <c r="AJ14" s="555"/>
      <c r="AK14" s="556"/>
      <c r="AL14" s="559"/>
      <c r="AM14" s="560"/>
    </row>
    <row r="15" spans="1:39" s="96" customFormat="1" ht="19.5" customHeight="1">
      <c r="A15" s="10" t="s">
        <v>11</v>
      </c>
      <c r="B15" s="497">
        <f>4+1+5+3+10+5+5+2</f>
        <v>35</v>
      </c>
      <c r="C15" s="493">
        <f>303.8+50.8+181.7+91+626.6+140.8+129.7+218.6</f>
        <v>1743</v>
      </c>
      <c r="D15" s="497"/>
      <c r="E15" s="493"/>
      <c r="F15" s="497"/>
      <c r="G15" s="493"/>
      <c r="H15" s="504"/>
      <c r="I15" s="415">
        <v>202.4</v>
      </c>
      <c r="J15" s="504">
        <f>4</f>
        <v>4</v>
      </c>
      <c r="K15" s="415">
        <f>127.9+573.6</f>
        <v>701.5</v>
      </c>
      <c r="L15" s="504">
        <v>6</v>
      </c>
      <c r="M15" s="415">
        <v>107</v>
      </c>
      <c r="N15" s="504"/>
      <c r="O15" s="415"/>
      <c r="P15" s="504"/>
      <c r="Q15" s="493"/>
      <c r="R15" s="504"/>
      <c r="S15" s="415"/>
      <c r="T15" s="504"/>
      <c r="U15" s="415"/>
      <c r="V15" s="504"/>
      <c r="W15" s="415"/>
      <c r="X15" s="497">
        <f>1+9</f>
        <v>10</v>
      </c>
      <c r="Y15" s="493">
        <f>105.7+489.8</f>
        <v>595.5</v>
      </c>
      <c r="Z15" s="497">
        <f>5+5+2+5+1</f>
        <v>18</v>
      </c>
      <c r="AA15" s="493">
        <f>310.2+214.3+290.2+272.8+3.8</f>
        <v>1091.3</v>
      </c>
      <c r="AB15" s="497">
        <f>6+4</f>
        <v>10</v>
      </c>
      <c r="AC15" s="493">
        <f>202.3+128.5+70.7+24.9</f>
        <v>426.4</v>
      </c>
      <c r="AD15" s="504"/>
      <c r="AE15" s="415"/>
      <c r="AF15" s="504"/>
      <c r="AG15" s="415"/>
      <c r="AH15" s="504"/>
      <c r="AI15" s="415"/>
      <c r="AJ15" s="504"/>
      <c r="AK15" s="415"/>
      <c r="AL15" s="514">
        <f aca="true" t="shared" si="2" ref="AL15:AM17">SUM(B15,D15,F15,H15,J15,L15,N15,P15,R15,T15,V15,Z15,X15,AB15,AD15,AF15,AH15,AJ15)</f>
        <v>83</v>
      </c>
      <c r="AM15" s="516">
        <f t="shared" si="2"/>
        <v>4867.099999999999</v>
      </c>
    </row>
    <row r="16" spans="1:39" s="96" customFormat="1" ht="19.5" customHeight="1">
      <c r="A16" s="10" t="s">
        <v>420</v>
      </c>
      <c r="B16" s="497"/>
      <c r="C16" s="493"/>
      <c r="D16" s="497"/>
      <c r="E16" s="493"/>
      <c r="F16" s="497"/>
      <c r="G16" s="493"/>
      <c r="H16" s="504"/>
      <c r="I16" s="415"/>
      <c r="J16" s="504"/>
      <c r="K16" s="415"/>
      <c r="L16" s="504"/>
      <c r="M16" s="415"/>
      <c r="N16" s="504"/>
      <c r="O16" s="415"/>
      <c r="P16" s="504"/>
      <c r="Q16" s="493"/>
      <c r="R16" s="504"/>
      <c r="S16" s="415"/>
      <c r="T16" s="504"/>
      <c r="U16" s="415"/>
      <c r="V16" s="504"/>
      <c r="W16" s="415"/>
      <c r="X16" s="497">
        <v>1</v>
      </c>
      <c r="Y16" s="493">
        <v>97.3</v>
      </c>
      <c r="Z16" s="497"/>
      <c r="AA16" s="493"/>
      <c r="AB16" s="497"/>
      <c r="AC16" s="493"/>
      <c r="AD16" s="504"/>
      <c r="AE16" s="415"/>
      <c r="AF16" s="504"/>
      <c r="AG16" s="415"/>
      <c r="AH16" s="504"/>
      <c r="AI16" s="415"/>
      <c r="AJ16" s="504"/>
      <c r="AK16" s="415"/>
      <c r="AL16" s="514">
        <f t="shared" si="2"/>
        <v>1</v>
      </c>
      <c r="AM16" s="516">
        <f t="shared" si="2"/>
        <v>97.3</v>
      </c>
    </row>
    <row r="17" spans="1:39" s="269" customFormat="1" ht="19.5" customHeight="1">
      <c r="A17" s="16" t="s">
        <v>12</v>
      </c>
      <c r="B17" s="498">
        <v>4</v>
      </c>
      <c r="C17" s="494">
        <v>662.5</v>
      </c>
      <c r="D17" s="498"/>
      <c r="E17" s="494"/>
      <c r="F17" s="498"/>
      <c r="G17" s="494"/>
      <c r="H17" s="505"/>
      <c r="I17" s="506"/>
      <c r="J17" s="505">
        <v>1</v>
      </c>
      <c r="K17" s="506">
        <v>225.9</v>
      </c>
      <c r="L17" s="505">
        <f>1+1</f>
        <v>2</v>
      </c>
      <c r="M17" s="506">
        <f>106.5+104.7</f>
        <v>211.2</v>
      </c>
      <c r="N17" s="505">
        <f>8+1</f>
        <v>9</v>
      </c>
      <c r="O17" s="506">
        <f>781.4+69.3</f>
        <v>850.6999999999999</v>
      </c>
      <c r="P17" s="505"/>
      <c r="Q17" s="494"/>
      <c r="R17" s="505"/>
      <c r="S17" s="506"/>
      <c r="T17" s="505"/>
      <c r="U17" s="506"/>
      <c r="V17" s="505">
        <v>1</v>
      </c>
      <c r="W17" s="506">
        <v>125.1</v>
      </c>
      <c r="X17" s="498">
        <f>3+1</f>
        <v>4</v>
      </c>
      <c r="Y17" s="494">
        <f>285.3+245.6</f>
        <v>530.9</v>
      </c>
      <c r="Z17" s="498">
        <f>6+2</f>
        <v>8</v>
      </c>
      <c r="AA17" s="494">
        <f>1359.4+295.4</f>
        <v>1654.8000000000002</v>
      </c>
      <c r="AB17" s="498"/>
      <c r="AC17" s="494"/>
      <c r="AD17" s="505">
        <f>8+1</f>
        <v>9</v>
      </c>
      <c r="AE17" s="506">
        <f>1071.7+225.5</f>
        <v>1297.2</v>
      </c>
      <c r="AF17" s="505"/>
      <c r="AG17" s="506"/>
      <c r="AH17" s="505">
        <v>16</v>
      </c>
      <c r="AI17" s="506">
        <v>1634.1</v>
      </c>
      <c r="AJ17" s="505">
        <f>2+2</f>
        <v>4</v>
      </c>
      <c r="AK17" s="506">
        <f>245.1+211.4</f>
        <v>456.5</v>
      </c>
      <c r="AL17" s="515">
        <f t="shared" si="2"/>
        <v>58</v>
      </c>
      <c r="AM17" s="517">
        <f t="shared" si="2"/>
        <v>7648.9</v>
      </c>
    </row>
    <row r="18" spans="1:39" s="96" customFormat="1" ht="19.5" customHeight="1">
      <c r="A18" s="538" t="s">
        <v>494</v>
      </c>
      <c r="B18" s="555"/>
      <c r="C18" s="556"/>
      <c r="D18" s="555"/>
      <c r="E18" s="556"/>
      <c r="F18" s="555"/>
      <c r="G18" s="556"/>
      <c r="H18" s="557"/>
      <c r="I18" s="558"/>
      <c r="J18" s="557"/>
      <c r="K18" s="558"/>
      <c r="L18" s="557"/>
      <c r="M18" s="558"/>
      <c r="N18" s="557"/>
      <c r="O18" s="558"/>
      <c r="P18" s="557"/>
      <c r="Q18" s="556"/>
      <c r="R18" s="557"/>
      <c r="S18" s="558"/>
      <c r="T18" s="557"/>
      <c r="U18" s="558"/>
      <c r="V18" s="557"/>
      <c r="W18" s="558"/>
      <c r="X18" s="557"/>
      <c r="Y18" s="558"/>
      <c r="Z18" s="555"/>
      <c r="AA18" s="556"/>
      <c r="AB18" s="555"/>
      <c r="AC18" s="556"/>
      <c r="AD18" s="555"/>
      <c r="AE18" s="556"/>
      <c r="AF18" s="555"/>
      <c r="AG18" s="556"/>
      <c r="AH18" s="555"/>
      <c r="AI18" s="556"/>
      <c r="AJ18" s="555"/>
      <c r="AK18" s="556"/>
      <c r="AL18" s="559"/>
      <c r="AM18" s="560"/>
    </row>
    <row r="19" spans="1:39" s="96" customFormat="1" ht="19.5" customHeight="1">
      <c r="A19" s="10" t="s">
        <v>13</v>
      </c>
      <c r="B19" s="497">
        <v>1</v>
      </c>
      <c r="C19" s="493">
        <v>128.5</v>
      </c>
      <c r="D19" s="497"/>
      <c r="E19" s="493"/>
      <c r="F19" s="497"/>
      <c r="G19" s="493"/>
      <c r="H19" s="504"/>
      <c r="I19" s="415"/>
      <c r="J19" s="504"/>
      <c r="K19" s="415"/>
      <c r="L19" s="504"/>
      <c r="M19" s="415"/>
      <c r="N19" s="504"/>
      <c r="O19" s="415"/>
      <c r="P19" s="504"/>
      <c r="Q19" s="493"/>
      <c r="R19" s="504"/>
      <c r="S19" s="415"/>
      <c r="T19" s="504"/>
      <c r="U19" s="415"/>
      <c r="V19" s="504">
        <f>1+4</f>
        <v>5</v>
      </c>
      <c r="W19" s="415">
        <f>77.8+338.2</f>
        <v>416</v>
      </c>
      <c r="X19" s="497"/>
      <c r="Y19" s="493"/>
      <c r="Z19" s="497">
        <v>1</v>
      </c>
      <c r="AA19" s="493">
        <v>109</v>
      </c>
      <c r="AB19" s="497"/>
      <c r="AC19" s="493"/>
      <c r="AD19" s="504"/>
      <c r="AE19" s="415"/>
      <c r="AF19" s="504"/>
      <c r="AG19" s="415"/>
      <c r="AH19" s="504"/>
      <c r="AI19" s="415"/>
      <c r="AJ19" s="504"/>
      <c r="AK19" s="415"/>
      <c r="AL19" s="514">
        <f aca="true" t="shared" si="3" ref="AL19:AL33">SUM(B19,D19,F19,H19,J19,L19,N19,P19,R19,T19,V19,Z19,X19,AB19,AD19,AF19,AH19,AJ19)</f>
        <v>7</v>
      </c>
      <c r="AM19" s="516">
        <f aca="true" t="shared" si="4" ref="AM19:AM33">SUM(C19,E19,G19,I19,K19,M19,O19,Q19,S19,U19,W19,AA19,Y19,AC19,AE19,AG19,AI19,AK19)</f>
        <v>653.5</v>
      </c>
    </row>
    <row r="20" spans="1:39" s="96" customFormat="1" ht="19.5" customHeight="1">
      <c r="A20" s="10" t="s">
        <v>422</v>
      </c>
      <c r="B20" s="497"/>
      <c r="C20" s="493"/>
      <c r="D20" s="497"/>
      <c r="E20" s="493"/>
      <c r="F20" s="497"/>
      <c r="G20" s="493"/>
      <c r="H20" s="504"/>
      <c r="I20" s="415"/>
      <c r="J20" s="504"/>
      <c r="K20" s="415"/>
      <c r="L20" s="504"/>
      <c r="M20" s="415"/>
      <c r="N20" s="504"/>
      <c r="O20" s="415"/>
      <c r="P20" s="504"/>
      <c r="Q20" s="493"/>
      <c r="R20" s="504"/>
      <c r="S20" s="415"/>
      <c r="T20" s="504"/>
      <c r="U20" s="415"/>
      <c r="V20" s="504"/>
      <c r="W20" s="415"/>
      <c r="X20" s="497">
        <v>1</v>
      </c>
      <c r="Y20" s="493">
        <v>69.1</v>
      </c>
      <c r="Z20" s="497"/>
      <c r="AA20" s="493"/>
      <c r="AB20" s="497"/>
      <c r="AC20" s="493"/>
      <c r="AD20" s="504"/>
      <c r="AE20" s="415"/>
      <c r="AF20" s="504"/>
      <c r="AG20" s="415"/>
      <c r="AH20" s="504"/>
      <c r="AI20" s="415"/>
      <c r="AJ20" s="504"/>
      <c r="AK20" s="415"/>
      <c r="AL20" s="514">
        <f>SUM(B20,D20,F20,H20,J20,L20,N20,P20,R20,T20,V20,Z20,X20,AB20,AD20,AF20,AH20,AJ20)</f>
        <v>1</v>
      </c>
      <c r="AM20" s="516">
        <f>SUM(C20,E20,G20,I20,K20,M20,O20,Q20,S20,U20,W20,AA20,Y20,AC20,AE20,AG20,AI20,AK20)</f>
        <v>69.1</v>
      </c>
    </row>
    <row r="21" spans="1:39" s="96" customFormat="1" ht="19.5" customHeight="1">
      <c r="A21" s="10" t="s">
        <v>14</v>
      </c>
      <c r="B21" s="497">
        <f>5+2+1</f>
        <v>8</v>
      </c>
      <c r="C21" s="493">
        <f>657.2+248.1+106.5</f>
        <v>1011.8000000000001</v>
      </c>
      <c r="D21" s="497"/>
      <c r="E21" s="493"/>
      <c r="F21" s="497"/>
      <c r="G21" s="493"/>
      <c r="H21" s="504"/>
      <c r="I21" s="415"/>
      <c r="J21" s="504">
        <f>1</f>
        <v>1</v>
      </c>
      <c r="K21" s="415">
        <f>177.1</f>
        <v>177.1</v>
      </c>
      <c r="L21" s="504">
        <v>2</v>
      </c>
      <c r="M21" s="415">
        <v>211.8</v>
      </c>
      <c r="N21" s="504"/>
      <c r="O21" s="415"/>
      <c r="P21" s="504">
        <f>1</f>
        <v>1</v>
      </c>
      <c r="Q21" s="493">
        <f>127.1</f>
        <v>127.1</v>
      </c>
      <c r="R21" s="504"/>
      <c r="S21" s="415"/>
      <c r="T21" s="504"/>
      <c r="U21" s="415"/>
      <c r="V21" s="504">
        <f>1+4</f>
        <v>5</v>
      </c>
      <c r="W21" s="415">
        <f>73.7+337.6</f>
        <v>411.3</v>
      </c>
      <c r="X21" s="497"/>
      <c r="Y21" s="493"/>
      <c r="Z21" s="497">
        <f>1</f>
        <v>1</v>
      </c>
      <c r="AA21" s="493">
        <f>102.9</f>
        <v>102.9</v>
      </c>
      <c r="AB21" s="497">
        <f>2</f>
        <v>2</v>
      </c>
      <c r="AC21" s="493">
        <f>767.6</f>
        <v>767.6</v>
      </c>
      <c r="AD21" s="504"/>
      <c r="AE21" s="415"/>
      <c r="AF21" s="504"/>
      <c r="AG21" s="415"/>
      <c r="AH21" s="504"/>
      <c r="AI21" s="415"/>
      <c r="AJ21" s="504">
        <v>2</v>
      </c>
      <c r="AK21" s="415">
        <v>108.8</v>
      </c>
      <c r="AL21" s="514">
        <f t="shared" si="3"/>
        <v>22</v>
      </c>
      <c r="AM21" s="516">
        <f t="shared" si="4"/>
        <v>2918.4</v>
      </c>
    </row>
    <row r="22" spans="1:39" s="96" customFormat="1" ht="19.5" customHeight="1">
      <c r="A22" s="10" t="s">
        <v>15</v>
      </c>
      <c r="B22" s="497">
        <f>2+1</f>
        <v>3</v>
      </c>
      <c r="C22" s="493">
        <f>234.8+106.5</f>
        <v>341.3</v>
      </c>
      <c r="D22" s="497"/>
      <c r="E22" s="493"/>
      <c r="F22" s="497">
        <v>12</v>
      </c>
      <c r="G22" s="493">
        <v>2175.3</v>
      </c>
      <c r="H22" s="504">
        <v>14</v>
      </c>
      <c r="I22" s="415">
        <v>2536</v>
      </c>
      <c r="J22" s="504"/>
      <c r="K22" s="415"/>
      <c r="L22" s="504"/>
      <c r="M22" s="415"/>
      <c r="N22" s="504">
        <f>5+1</f>
        <v>6</v>
      </c>
      <c r="O22" s="415">
        <f>1907.2+112</f>
        <v>2019.2</v>
      </c>
      <c r="P22" s="504">
        <f>3+3</f>
        <v>6</v>
      </c>
      <c r="Q22" s="493">
        <f>817.5+368.1</f>
        <v>1185.6</v>
      </c>
      <c r="R22" s="504"/>
      <c r="S22" s="415"/>
      <c r="T22" s="504">
        <v>1</v>
      </c>
      <c r="U22" s="415">
        <v>674</v>
      </c>
      <c r="V22" s="504">
        <f>12+1+1</f>
        <v>14</v>
      </c>
      <c r="W22" s="415">
        <f>4248.2+32.2+85.4</f>
        <v>4365.799999999999</v>
      </c>
      <c r="X22" s="497">
        <f>15+1</f>
        <v>16</v>
      </c>
      <c r="Y22" s="493">
        <f>4132.9+120.7</f>
        <v>4253.599999999999</v>
      </c>
      <c r="Z22" s="497">
        <v>2</v>
      </c>
      <c r="AA22" s="493">
        <f>985.7+37.9</f>
        <v>1023.6</v>
      </c>
      <c r="AB22" s="497">
        <f>6+3</f>
        <v>9</v>
      </c>
      <c r="AC22" s="493">
        <f>1151.7+889.8</f>
        <v>2041.5</v>
      </c>
      <c r="AD22" s="504">
        <v>39</v>
      </c>
      <c r="AE22" s="415">
        <v>4754.3</v>
      </c>
      <c r="AF22" s="504">
        <v>4</v>
      </c>
      <c r="AG22" s="415">
        <v>286.7</v>
      </c>
      <c r="AH22" s="504">
        <f>1</f>
        <v>1</v>
      </c>
      <c r="AI22" s="415">
        <f>2228.7+7.7</f>
        <v>2236.3999999999996</v>
      </c>
      <c r="AJ22" s="504">
        <v>3</v>
      </c>
      <c r="AK22" s="415">
        <v>102.1</v>
      </c>
      <c r="AL22" s="514">
        <f t="shared" si="3"/>
        <v>130</v>
      </c>
      <c r="AM22" s="516">
        <f t="shared" si="4"/>
        <v>27995.399999999994</v>
      </c>
    </row>
    <row r="23" spans="1:39" s="59" customFormat="1" ht="19.5" customHeight="1">
      <c r="A23" s="10" t="s">
        <v>16</v>
      </c>
      <c r="B23" s="497">
        <v>1</v>
      </c>
      <c r="C23" s="493">
        <v>107.2</v>
      </c>
      <c r="D23" s="497"/>
      <c r="E23" s="493"/>
      <c r="F23" s="497"/>
      <c r="G23" s="493"/>
      <c r="H23" s="504"/>
      <c r="I23" s="415"/>
      <c r="J23" s="504"/>
      <c r="K23" s="415"/>
      <c r="L23" s="504">
        <v>2</v>
      </c>
      <c r="M23" s="415">
        <v>213</v>
      </c>
      <c r="N23" s="504"/>
      <c r="O23" s="415"/>
      <c r="P23" s="504">
        <v>3</v>
      </c>
      <c r="Q23" s="493">
        <v>338.7</v>
      </c>
      <c r="R23" s="504"/>
      <c r="S23" s="415"/>
      <c r="T23" s="504"/>
      <c r="U23" s="415"/>
      <c r="V23" s="504"/>
      <c r="W23" s="415"/>
      <c r="X23" s="497">
        <v>1</v>
      </c>
      <c r="Y23" s="493">
        <v>96.5</v>
      </c>
      <c r="Z23" s="497"/>
      <c r="AA23" s="493"/>
      <c r="AB23" s="497"/>
      <c r="AC23" s="493"/>
      <c r="AD23" s="504"/>
      <c r="AE23" s="415"/>
      <c r="AF23" s="504"/>
      <c r="AG23" s="415"/>
      <c r="AH23" s="504"/>
      <c r="AI23" s="415"/>
      <c r="AJ23" s="504"/>
      <c r="AK23" s="415"/>
      <c r="AL23" s="514">
        <f t="shared" si="3"/>
        <v>7</v>
      </c>
      <c r="AM23" s="516">
        <f t="shared" si="4"/>
        <v>755.4</v>
      </c>
    </row>
    <row r="24" spans="1:39" s="269" customFormat="1" ht="19.5" customHeight="1">
      <c r="A24" s="10" t="s">
        <v>17</v>
      </c>
      <c r="B24" s="497">
        <v>6</v>
      </c>
      <c r="C24" s="493">
        <v>150.2</v>
      </c>
      <c r="D24" s="497"/>
      <c r="E24" s="493"/>
      <c r="F24" s="497"/>
      <c r="G24" s="493"/>
      <c r="H24" s="504"/>
      <c r="I24" s="415"/>
      <c r="J24" s="504"/>
      <c r="K24" s="415"/>
      <c r="L24" s="504"/>
      <c r="M24" s="415"/>
      <c r="N24" s="504"/>
      <c r="O24" s="415"/>
      <c r="P24" s="504"/>
      <c r="Q24" s="493"/>
      <c r="R24" s="504"/>
      <c r="S24" s="415"/>
      <c r="T24" s="504"/>
      <c r="U24" s="415"/>
      <c r="V24" s="504">
        <v>4</v>
      </c>
      <c r="W24" s="415">
        <v>338.8</v>
      </c>
      <c r="X24" s="497"/>
      <c r="Y24" s="493"/>
      <c r="Z24" s="497"/>
      <c r="AA24" s="493"/>
      <c r="AB24" s="497"/>
      <c r="AC24" s="493"/>
      <c r="AD24" s="504"/>
      <c r="AE24" s="415"/>
      <c r="AF24" s="504"/>
      <c r="AG24" s="415"/>
      <c r="AH24" s="504"/>
      <c r="AI24" s="415"/>
      <c r="AJ24" s="504"/>
      <c r="AK24" s="415"/>
      <c r="AL24" s="514">
        <f t="shared" si="3"/>
        <v>10</v>
      </c>
      <c r="AM24" s="516">
        <f t="shared" si="4"/>
        <v>489</v>
      </c>
    </row>
    <row r="25" spans="1:39" s="269" customFormat="1" ht="19.5" customHeight="1">
      <c r="A25" s="10" t="s">
        <v>423</v>
      </c>
      <c r="B25" s="497"/>
      <c r="C25" s="493"/>
      <c r="D25" s="497"/>
      <c r="E25" s="493"/>
      <c r="F25" s="497"/>
      <c r="G25" s="493"/>
      <c r="H25" s="504"/>
      <c r="I25" s="415"/>
      <c r="J25" s="504"/>
      <c r="K25" s="415"/>
      <c r="L25" s="504"/>
      <c r="M25" s="415"/>
      <c r="N25" s="504"/>
      <c r="O25" s="415"/>
      <c r="P25" s="504"/>
      <c r="Q25" s="493"/>
      <c r="R25" s="504"/>
      <c r="S25" s="415"/>
      <c r="T25" s="504"/>
      <c r="U25" s="415"/>
      <c r="V25" s="504"/>
      <c r="W25" s="415"/>
      <c r="X25" s="497">
        <v>1</v>
      </c>
      <c r="Y25" s="493">
        <v>114.8</v>
      </c>
      <c r="Z25" s="497"/>
      <c r="AA25" s="493"/>
      <c r="AB25" s="497"/>
      <c r="AC25" s="493"/>
      <c r="AD25" s="504"/>
      <c r="AE25" s="415"/>
      <c r="AF25" s="504"/>
      <c r="AG25" s="415"/>
      <c r="AH25" s="504"/>
      <c r="AI25" s="415"/>
      <c r="AJ25" s="504"/>
      <c r="AK25" s="415"/>
      <c r="AL25" s="514">
        <f>SUM(B25,D25,F25,H25,J25,L25,N25,P25,R25,T25,V25,Z25,X25,AB25,AD25,AF25,AH25,AJ25)</f>
        <v>1</v>
      </c>
      <c r="AM25" s="516">
        <f>SUM(C25,E25,G25,I25,K25,M25,O25,Q25,S25,U25,W25,AA25,Y25,AC25,AE25,AG25,AI25,AK25)</f>
        <v>114.8</v>
      </c>
    </row>
    <row r="26" spans="1:39" s="269" customFormat="1" ht="19.5" customHeight="1">
      <c r="A26" s="10" t="s">
        <v>227</v>
      </c>
      <c r="B26" s="497"/>
      <c r="C26" s="493"/>
      <c r="D26" s="497"/>
      <c r="E26" s="493"/>
      <c r="F26" s="497"/>
      <c r="G26" s="493"/>
      <c r="H26" s="504"/>
      <c r="I26" s="415"/>
      <c r="J26" s="504"/>
      <c r="K26" s="415"/>
      <c r="L26" s="504"/>
      <c r="M26" s="415"/>
      <c r="N26" s="504"/>
      <c r="O26" s="415"/>
      <c r="P26" s="504"/>
      <c r="Q26" s="493"/>
      <c r="R26" s="504"/>
      <c r="S26" s="415"/>
      <c r="T26" s="504"/>
      <c r="U26" s="415"/>
      <c r="V26" s="504"/>
      <c r="W26" s="415"/>
      <c r="X26" s="497">
        <v>1</v>
      </c>
      <c r="Y26" s="493">
        <v>124.5</v>
      </c>
      <c r="Z26" s="497"/>
      <c r="AA26" s="493"/>
      <c r="AB26" s="497"/>
      <c r="AC26" s="493"/>
      <c r="AD26" s="504"/>
      <c r="AE26" s="415"/>
      <c r="AF26" s="504"/>
      <c r="AG26" s="415"/>
      <c r="AH26" s="504"/>
      <c r="AI26" s="415"/>
      <c r="AJ26" s="504"/>
      <c r="AK26" s="415"/>
      <c r="AL26" s="514">
        <f t="shared" si="3"/>
        <v>1</v>
      </c>
      <c r="AM26" s="516">
        <f t="shared" si="4"/>
        <v>124.5</v>
      </c>
    </row>
    <row r="27" spans="1:39" s="59" customFormat="1" ht="19.5" customHeight="1">
      <c r="A27" s="10" t="s">
        <v>18</v>
      </c>
      <c r="B27" s="497">
        <v>4</v>
      </c>
      <c r="C27" s="493">
        <v>520.7</v>
      </c>
      <c r="D27" s="497"/>
      <c r="E27" s="493"/>
      <c r="F27" s="497"/>
      <c r="G27" s="493"/>
      <c r="H27" s="504"/>
      <c r="I27" s="415"/>
      <c r="J27" s="504"/>
      <c r="K27" s="415"/>
      <c r="L27" s="504"/>
      <c r="M27" s="415"/>
      <c r="N27" s="504"/>
      <c r="O27" s="415"/>
      <c r="P27" s="504"/>
      <c r="Q27" s="493"/>
      <c r="R27" s="504"/>
      <c r="S27" s="415"/>
      <c r="T27" s="504"/>
      <c r="U27" s="415"/>
      <c r="V27" s="504">
        <v>1</v>
      </c>
      <c r="W27" s="415">
        <v>96.1</v>
      </c>
      <c r="X27" s="497">
        <v>1</v>
      </c>
      <c r="Y27" s="493">
        <v>113.8</v>
      </c>
      <c r="Z27" s="497">
        <v>2</v>
      </c>
      <c r="AA27" s="493">
        <v>280.8</v>
      </c>
      <c r="AB27" s="497"/>
      <c r="AC27" s="493"/>
      <c r="AD27" s="504"/>
      <c r="AE27" s="415"/>
      <c r="AF27" s="504"/>
      <c r="AG27" s="415"/>
      <c r="AH27" s="504"/>
      <c r="AI27" s="415"/>
      <c r="AJ27" s="504"/>
      <c r="AK27" s="415"/>
      <c r="AL27" s="514">
        <f t="shared" si="3"/>
        <v>8</v>
      </c>
      <c r="AM27" s="516">
        <f t="shared" si="4"/>
        <v>1011.4000000000001</v>
      </c>
    </row>
    <row r="28" spans="1:39" ht="19.5" customHeight="1">
      <c r="A28" s="10" t="s">
        <v>19</v>
      </c>
      <c r="B28" s="497">
        <f>5+2</f>
        <v>7</v>
      </c>
      <c r="C28" s="493">
        <f>558.1+313</f>
        <v>871.1</v>
      </c>
      <c r="D28" s="497"/>
      <c r="E28" s="493"/>
      <c r="F28" s="497"/>
      <c r="G28" s="493"/>
      <c r="H28" s="504"/>
      <c r="I28" s="415"/>
      <c r="J28" s="504"/>
      <c r="K28" s="415"/>
      <c r="L28" s="504"/>
      <c r="M28" s="415"/>
      <c r="N28" s="504"/>
      <c r="O28" s="415"/>
      <c r="P28" s="504">
        <f>1</f>
        <v>1</v>
      </c>
      <c r="Q28" s="493">
        <f>133.8</f>
        <v>133.8</v>
      </c>
      <c r="R28" s="504"/>
      <c r="S28" s="415"/>
      <c r="T28" s="504"/>
      <c r="U28" s="415"/>
      <c r="V28" s="504">
        <v>3</v>
      </c>
      <c r="W28" s="415">
        <v>249.4</v>
      </c>
      <c r="X28" s="497">
        <f>1+1</f>
        <v>2</v>
      </c>
      <c r="Y28" s="493">
        <f>166.5+162.5</f>
        <v>329</v>
      </c>
      <c r="Z28" s="497">
        <f>5+3</f>
        <v>8</v>
      </c>
      <c r="AA28" s="493">
        <f>850.2+425.5</f>
        <v>1275.7</v>
      </c>
      <c r="AB28" s="497"/>
      <c r="AC28" s="493"/>
      <c r="AD28" s="504">
        <f>1</f>
        <v>1</v>
      </c>
      <c r="AE28" s="415">
        <f>90.2</f>
        <v>90.2</v>
      </c>
      <c r="AF28" s="504"/>
      <c r="AG28" s="415"/>
      <c r="AH28" s="504">
        <f>1</f>
        <v>1</v>
      </c>
      <c r="AI28" s="415">
        <f>7.7</f>
        <v>7.7</v>
      </c>
      <c r="AJ28" s="504"/>
      <c r="AK28" s="415"/>
      <c r="AL28" s="514">
        <f t="shared" si="3"/>
        <v>23</v>
      </c>
      <c r="AM28" s="516">
        <f t="shared" si="4"/>
        <v>2956.8999999999996</v>
      </c>
    </row>
    <row r="29" spans="1:39" ht="19.5" customHeight="1">
      <c r="A29" s="10" t="s">
        <v>20</v>
      </c>
      <c r="B29" s="497">
        <f>3+4+1</f>
        <v>8</v>
      </c>
      <c r="C29" s="493">
        <f>373.7+468.2+107.2</f>
        <v>949.1</v>
      </c>
      <c r="D29" s="497"/>
      <c r="E29" s="493"/>
      <c r="F29" s="497"/>
      <c r="G29" s="493"/>
      <c r="H29" s="504">
        <v>7</v>
      </c>
      <c r="I29" s="415">
        <v>1110.8</v>
      </c>
      <c r="J29" s="504">
        <f>1</f>
        <v>1</v>
      </c>
      <c r="K29" s="415">
        <f>176.9</f>
        <v>176.9</v>
      </c>
      <c r="L29" s="504">
        <v>2</v>
      </c>
      <c r="M29" s="415">
        <v>209.2</v>
      </c>
      <c r="N29" s="504"/>
      <c r="O29" s="415"/>
      <c r="P29" s="504">
        <v>5</v>
      </c>
      <c r="Q29" s="493">
        <v>547.1</v>
      </c>
      <c r="R29" s="504"/>
      <c r="S29" s="415"/>
      <c r="T29" s="504"/>
      <c r="U29" s="415"/>
      <c r="V29" s="504">
        <f>1+1</f>
        <v>2</v>
      </c>
      <c r="W29" s="415">
        <f>317.9+81.7</f>
        <v>399.59999999999997</v>
      </c>
      <c r="X29" s="497">
        <f>1+1</f>
        <v>2</v>
      </c>
      <c r="Y29" s="493">
        <f>169.2+109</f>
        <v>278.2</v>
      </c>
      <c r="Z29" s="497">
        <f>7+3</f>
        <v>10</v>
      </c>
      <c r="AA29" s="493">
        <f>1090.2+273.6</f>
        <v>1363.8000000000002</v>
      </c>
      <c r="AB29" s="497">
        <f>1</f>
        <v>1</v>
      </c>
      <c r="AC29" s="493">
        <f>114</f>
        <v>114</v>
      </c>
      <c r="AD29" s="504">
        <f>1</f>
        <v>1</v>
      </c>
      <c r="AE29" s="415">
        <f>7.7</f>
        <v>7.7</v>
      </c>
      <c r="AF29" s="504"/>
      <c r="AG29" s="415"/>
      <c r="AH29" s="504"/>
      <c r="AI29" s="415"/>
      <c r="AJ29" s="504"/>
      <c r="AK29" s="415"/>
      <c r="AL29" s="514">
        <f t="shared" si="3"/>
        <v>39</v>
      </c>
      <c r="AM29" s="516">
        <f t="shared" si="4"/>
        <v>5156.4</v>
      </c>
    </row>
    <row r="30" spans="1:39" ht="19.5" customHeight="1">
      <c r="A30" s="10" t="s">
        <v>21</v>
      </c>
      <c r="B30" s="497">
        <f>1+4</f>
        <v>5</v>
      </c>
      <c r="C30" s="493">
        <f>86.7+437.8</f>
        <v>524.5</v>
      </c>
      <c r="D30" s="497"/>
      <c r="E30" s="493"/>
      <c r="F30" s="497"/>
      <c r="G30" s="493"/>
      <c r="H30" s="504"/>
      <c r="I30" s="415"/>
      <c r="J30" s="504">
        <f>1</f>
        <v>1</v>
      </c>
      <c r="K30" s="415">
        <f>104.5</f>
        <v>104.5</v>
      </c>
      <c r="L30" s="504"/>
      <c r="M30" s="415"/>
      <c r="N30" s="504"/>
      <c r="O30" s="415"/>
      <c r="P30" s="504"/>
      <c r="Q30" s="493"/>
      <c r="R30" s="504"/>
      <c r="S30" s="415"/>
      <c r="T30" s="504"/>
      <c r="U30" s="415"/>
      <c r="V30" s="504">
        <v>3</v>
      </c>
      <c r="W30" s="415">
        <v>250.7</v>
      </c>
      <c r="X30" s="497">
        <f>1+1</f>
        <v>2</v>
      </c>
      <c r="Y30" s="493">
        <f>101.9+113.8</f>
        <v>215.7</v>
      </c>
      <c r="Z30" s="497">
        <f>5+1</f>
        <v>6</v>
      </c>
      <c r="AA30" s="493">
        <f>674.2+135.6</f>
        <v>809.8000000000001</v>
      </c>
      <c r="AB30" s="497"/>
      <c r="AC30" s="493"/>
      <c r="AD30" s="504">
        <f>1</f>
        <v>1</v>
      </c>
      <c r="AE30" s="415">
        <f>192.5</f>
        <v>192.5</v>
      </c>
      <c r="AF30" s="504"/>
      <c r="AG30" s="415"/>
      <c r="AH30" s="504"/>
      <c r="AI30" s="415"/>
      <c r="AJ30" s="504"/>
      <c r="AK30" s="415"/>
      <c r="AL30" s="514">
        <f t="shared" si="3"/>
        <v>18</v>
      </c>
      <c r="AM30" s="516">
        <f t="shared" si="4"/>
        <v>2097.7</v>
      </c>
    </row>
    <row r="31" spans="1:39" ht="19.5" customHeight="1">
      <c r="A31" s="10" t="s">
        <v>426</v>
      </c>
      <c r="B31" s="497">
        <v>6</v>
      </c>
      <c r="C31" s="493">
        <v>643.7</v>
      </c>
      <c r="D31" s="497"/>
      <c r="E31" s="493"/>
      <c r="F31" s="497"/>
      <c r="G31" s="493"/>
      <c r="H31" s="504"/>
      <c r="I31" s="415"/>
      <c r="J31" s="504"/>
      <c r="K31" s="415"/>
      <c r="L31" s="504"/>
      <c r="M31" s="415"/>
      <c r="N31" s="504"/>
      <c r="O31" s="415"/>
      <c r="P31" s="504">
        <v>6</v>
      </c>
      <c r="Q31" s="493">
        <v>835.8</v>
      </c>
      <c r="R31" s="504"/>
      <c r="S31" s="415"/>
      <c r="T31" s="504"/>
      <c r="U31" s="415"/>
      <c r="V31" s="504"/>
      <c r="W31" s="415"/>
      <c r="X31" s="497"/>
      <c r="Y31" s="493"/>
      <c r="Z31" s="497"/>
      <c r="AA31" s="493"/>
      <c r="AB31" s="497"/>
      <c r="AC31" s="493"/>
      <c r="AD31" s="504"/>
      <c r="AE31" s="415"/>
      <c r="AF31" s="504"/>
      <c r="AG31" s="415"/>
      <c r="AH31" s="504"/>
      <c r="AI31" s="415"/>
      <c r="AJ31" s="504"/>
      <c r="AK31" s="415"/>
      <c r="AL31" s="514">
        <f>SUM(B31,D31,F31,H31,J31,L31,N31,P31,R31,T31,V31,Z31,X31,AB31,AD31,AF31,AH31,AJ31)</f>
        <v>12</v>
      </c>
      <c r="AM31" s="516">
        <f>SUM(C31,E31,G31,I31,K31,M31,O31,Q31,S31,U31,W31,AA31,Y31,AC31,AE31,AG31,AI31,AK31)</f>
        <v>1479.5</v>
      </c>
    </row>
    <row r="32" spans="1:39" s="760" customFormat="1" ht="19.5" customHeight="1">
      <c r="A32" s="10" t="s">
        <v>22</v>
      </c>
      <c r="B32" s="497">
        <f>5+8+1</f>
        <v>14</v>
      </c>
      <c r="C32" s="493">
        <f>527.3+914.3+107.8</f>
        <v>1549.3999999999999</v>
      </c>
      <c r="D32" s="497"/>
      <c r="E32" s="493"/>
      <c r="F32" s="497"/>
      <c r="G32" s="493"/>
      <c r="H32" s="504"/>
      <c r="I32" s="415"/>
      <c r="J32" s="504"/>
      <c r="K32" s="415"/>
      <c r="L32" s="504">
        <v>2</v>
      </c>
      <c r="M32" s="415">
        <v>213</v>
      </c>
      <c r="N32" s="504"/>
      <c r="O32" s="415"/>
      <c r="P32" s="504">
        <v>5</v>
      </c>
      <c r="Q32" s="493">
        <v>512.2</v>
      </c>
      <c r="R32" s="504"/>
      <c r="S32" s="415"/>
      <c r="T32" s="504"/>
      <c r="U32" s="415"/>
      <c r="V32" s="504">
        <f>2+4+5</f>
        <v>11</v>
      </c>
      <c r="W32" s="415">
        <f>258.4+295.4+423.1</f>
        <v>976.9</v>
      </c>
      <c r="X32" s="497">
        <f>2+1</f>
        <v>3</v>
      </c>
      <c r="Y32" s="493">
        <f>455.8+110.6</f>
        <v>566.4</v>
      </c>
      <c r="Z32" s="497">
        <f>1+7</f>
        <v>8</v>
      </c>
      <c r="AA32" s="493">
        <f>136.2+752.9</f>
        <v>889.0999999999999</v>
      </c>
      <c r="AB32" s="497">
        <f>2</f>
        <v>2</v>
      </c>
      <c r="AC32" s="493">
        <f>212.6</f>
        <v>212.6</v>
      </c>
      <c r="AD32" s="504">
        <v>2</v>
      </c>
      <c r="AE32" s="415">
        <v>361.3</v>
      </c>
      <c r="AF32" s="504">
        <f>1</f>
        <v>1</v>
      </c>
      <c r="AG32" s="415">
        <v>27.4</v>
      </c>
      <c r="AH32" s="504"/>
      <c r="AI32" s="415"/>
      <c r="AJ32" s="504">
        <v>4</v>
      </c>
      <c r="AK32" s="415">
        <v>207.2</v>
      </c>
      <c r="AL32" s="514">
        <f>SUM(B32,D32,F32,H32,J32,L32,N32,P32,R32,T32,V32,Z32,X32,AB32,AD32,AF32,AH32,AJ32)</f>
        <v>52</v>
      </c>
      <c r="AM32" s="516">
        <f>SUM(C32,E32,G32,I32,K32,M32,O32,Q32,S32,U32,W32,AA32,Y32,AC32,AE32,AG32,AI32,AK32)</f>
        <v>5515.5</v>
      </c>
    </row>
    <row r="33" spans="1:39" ht="19.5" customHeight="1">
      <c r="A33" s="16" t="s">
        <v>428</v>
      </c>
      <c r="B33" s="498"/>
      <c r="C33" s="494"/>
      <c r="D33" s="498"/>
      <c r="E33" s="494"/>
      <c r="F33" s="498"/>
      <c r="G33" s="494"/>
      <c r="H33" s="505"/>
      <c r="I33" s="506"/>
      <c r="J33" s="505"/>
      <c r="K33" s="506"/>
      <c r="L33" s="505"/>
      <c r="M33" s="506"/>
      <c r="N33" s="505"/>
      <c r="O33" s="506"/>
      <c r="P33" s="505"/>
      <c r="Q33" s="494"/>
      <c r="R33" s="505"/>
      <c r="S33" s="506"/>
      <c r="T33" s="505"/>
      <c r="U33" s="506"/>
      <c r="V33" s="505"/>
      <c r="W33" s="506"/>
      <c r="X33" s="498">
        <v>1</v>
      </c>
      <c r="Y33" s="494">
        <v>130.9</v>
      </c>
      <c r="Z33" s="498"/>
      <c r="AA33" s="494"/>
      <c r="AB33" s="498"/>
      <c r="AC33" s="494"/>
      <c r="AD33" s="505"/>
      <c r="AE33" s="506"/>
      <c r="AF33" s="505"/>
      <c r="AG33" s="506"/>
      <c r="AH33" s="505"/>
      <c r="AI33" s="506"/>
      <c r="AJ33" s="505"/>
      <c r="AK33" s="506"/>
      <c r="AL33" s="515">
        <f t="shared" si="3"/>
        <v>1</v>
      </c>
      <c r="AM33" s="517">
        <f t="shared" si="4"/>
        <v>130.9</v>
      </c>
    </row>
    <row r="34" spans="1:39" s="59" customFormat="1" ht="19.5" customHeight="1">
      <c r="A34" s="520" t="s">
        <v>495</v>
      </c>
      <c r="B34" s="555"/>
      <c r="C34" s="556"/>
      <c r="D34" s="555"/>
      <c r="E34" s="556"/>
      <c r="F34" s="555"/>
      <c r="G34" s="556"/>
      <c r="H34" s="557"/>
      <c r="I34" s="558"/>
      <c r="J34" s="557"/>
      <c r="K34" s="558"/>
      <c r="L34" s="557"/>
      <c r="M34" s="558"/>
      <c r="N34" s="557"/>
      <c r="O34" s="558"/>
      <c r="P34" s="557"/>
      <c r="Q34" s="556"/>
      <c r="R34" s="557"/>
      <c r="S34" s="558"/>
      <c r="T34" s="557"/>
      <c r="U34" s="558"/>
      <c r="V34" s="557"/>
      <c r="W34" s="558"/>
      <c r="X34" s="557"/>
      <c r="Y34" s="558"/>
      <c r="Z34" s="555"/>
      <c r="AA34" s="556"/>
      <c r="AB34" s="555"/>
      <c r="AC34" s="556"/>
      <c r="AD34" s="555"/>
      <c r="AE34" s="556"/>
      <c r="AF34" s="555"/>
      <c r="AG34" s="556"/>
      <c r="AH34" s="555"/>
      <c r="AI34" s="556"/>
      <c r="AJ34" s="555"/>
      <c r="AK34" s="556"/>
      <c r="AL34" s="559"/>
      <c r="AM34" s="560"/>
    </row>
    <row r="35" spans="1:39" s="59" customFormat="1" ht="19.5" customHeight="1">
      <c r="A35" s="10" t="s">
        <v>195</v>
      </c>
      <c r="B35" s="497">
        <v>1</v>
      </c>
      <c r="C35" s="493">
        <v>208.5</v>
      </c>
      <c r="D35" s="497"/>
      <c r="E35" s="493"/>
      <c r="F35" s="497"/>
      <c r="G35" s="493"/>
      <c r="H35" s="504"/>
      <c r="I35" s="415"/>
      <c r="J35" s="504"/>
      <c r="K35" s="415"/>
      <c r="L35" s="504"/>
      <c r="M35" s="415"/>
      <c r="N35" s="504"/>
      <c r="O35" s="415"/>
      <c r="P35" s="504"/>
      <c r="Q35" s="493"/>
      <c r="R35" s="504"/>
      <c r="S35" s="415"/>
      <c r="T35" s="504"/>
      <c r="U35" s="415"/>
      <c r="V35" s="504"/>
      <c r="W35" s="415"/>
      <c r="X35" s="497"/>
      <c r="Y35" s="493"/>
      <c r="Z35" s="497">
        <v>4</v>
      </c>
      <c r="AA35" s="493">
        <v>695.3</v>
      </c>
      <c r="AB35" s="497"/>
      <c r="AC35" s="493"/>
      <c r="AD35" s="504"/>
      <c r="AE35" s="415"/>
      <c r="AF35" s="504"/>
      <c r="AG35" s="415"/>
      <c r="AH35" s="504"/>
      <c r="AI35" s="415"/>
      <c r="AJ35" s="504"/>
      <c r="AK35" s="415"/>
      <c r="AL35" s="514">
        <f aca="true" t="shared" si="5" ref="AL35:AM39">SUM(B35,D35,F35,H35,J35,L35,N35,P35,R35,T35,V35,Z35,X35,AB35,AD35,AF35,AH35,AJ35)</f>
        <v>5</v>
      </c>
      <c r="AM35" s="516">
        <f t="shared" si="5"/>
        <v>903.8</v>
      </c>
    </row>
    <row r="36" spans="1:39" s="59" customFormat="1" ht="19.5" customHeight="1">
      <c r="A36" s="10" t="s">
        <v>110</v>
      </c>
      <c r="B36" s="497">
        <f>1+2+1</f>
        <v>4</v>
      </c>
      <c r="C36" s="493">
        <f>186.5+354.8+107.2</f>
        <v>648.5</v>
      </c>
      <c r="D36" s="497"/>
      <c r="E36" s="493"/>
      <c r="F36" s="497"/>
      <c r="G36" s="493"/>
      <c r="H36" s="504"/>
      <c r="I36" s="415"/>
      <c r="J36" s="504"/>
      <c r="K36" s="415"/>
      <c r="L36" s="504"/>
      <c r="M36" s="415"/>
      <c r="N36" s="504"/>
      <c r="O36" s="415"/>
      <c r="P36" s="504"/>
      <c r="Q36" s="493"/>
      <c r="R36" s="504"/>
      <c r="S36" s="415"/>
      <c r="T36" s="504"/>
      <c r="U36" s="415"/>
      <c r="V36" s="504">
        <f>1+5</f>
        <v>6</v>
      </c>
      <c r="W36" s="415">
        <f>184+426.8</f>
        <v>610.8</v>
      </c>
      <c r="X36" s="497">
        <v>1</v>
      </c>
      <c r="Y36" s="493">
        <v>98.6</v>
      </c>
      <c r="Z36" s="497">
        <v>3</v>
      </c>
      <c r="AA36" s="493">
        <v>632</v>
      </c>
      <c r="AB36" s="497"/>
      <c r="AC36" s="493"/>
      <c r="AD36" s="504"/>
      <c r="AE36" s="415"/>
      <c r="AF36" s="504"/>
      <c r="AG36" s="415"/>
      <c r="AH36" s="504"/>
      <c r="AI36" s="415"/>
      <c r="AJ36" s="504"/>
      <c r="AK36" s="415"/>
      <c r="AL36" s="514">
        <f t="shared" si="5"/>
        <v>14</v>
      </c>
      <c r="AM36" s="516">
        <f t="shared" si="5"/>
        <v>1989.8999999999999</v>
      </c>
    </row>
    <row r="37" spans="1:39" s="59" customFormat="1" ht="19.5" customHeight="1">
      <c r="A37" s="10" t="s">
        <v>198</v>
      </c>
      <c r="B37" s="497"/>
      <c r="C37" s="493"/>
      <c r="D37" s="497"/>
      <c r="E37" s="493"/>
      <c r="F37" s="497"/>
      <c r="G37" s="493"/>
      <c r="H37" s="504"/>
      <c r="I37" s="415"/>
      <c r="J37" s="504"/>
      <c r="K37" s="415"/>
      <c r="L37" s="504"/>
      <c r="M37" s="415"/>
      <c r="N37" s="504"/>
      <c r="O37" s="415"/>
      <c r="P37" s="504"/>
      <c r="Q37" s="493"/>
      <c r="R37" s="504"/>
      <c r="S37" s="415"/>
      <c r="T37" s="504"/>
      <c r="U37" s="415"/>
      <c r="V37" s="504"/>
      <c r="W37" s="415"/>
      <c r="X37" s="497"/>
      <c r="Y37" s="493"/>
      <c r="Z37" s="497"/>
      <c r="AA37" s="493"/>
      <c r="AB37" s="497"/>
      <c r="AC37" s="493"/>
      <c r="AD37" s="504"/>
      <c r="AE37" s="415"/>
      <c r="AF37" s="504"/>
      <c r="AG37" s="415"/>
      <c r="AH37" s="504"/>
      <c r="AI37" s="415"/>
      <c r="AJ37" s="504"/>
      <c r="AK37" s="415"/>
      <c r="AL37" s="514">
        <f t="shared" si="5"/>
        <v>0</v>
      </c>
      <c r="AM37" s="516">
        <f t="shared" si="5"/>
        <v>0</v>
      </c>
    </row>
    <row r="38" spans="1:39" s="269" customFormat="1" ht="19.5" customHeight="1">
      <c r="A38" s="10" t="s">
        <v>129</v>
      </c>
      <c r="B38" s="497"/>
      <c r="C38" s="493"/>
      <c r="D38" s="497"/>
      <c r="E38" s="493"/>
      <c r="F38" s="497"/>
      <c r="G38" s="493"/>
      <c r="H38" s="504"/>
      <c r="I38" s="415"/>
      <c r="J38" s="504"/>
      <c r="K38" s="415"/>
      <c r="L38" s="504"/>
      <c r="M38" s="415"/>
      <c r="N38" s="504"/>
      <c r="O38" s="415"/>
      <c r="P38" s="504"/>
      <c r="Q38" s="493"/>
      <c r="R38" s="504"/>
      <c r="S38" s="415"/>
      <c r="T38" s="504"/>
      <c r="U38" s="415"/>
      <c r="V38" s="504"/>
      <c r="W38" s="415"/>
      <c r="X38" s="497">
        <v>1</v>
      </c>
      <c r="Y38" s="493">
        <v>209.6</v>
      </c>
      <c r="Z38" s="497">
        <v>2</v>
      </c>
      <c r="AA38" s="493">
        <v>252</v>
      </c>
      <c r="AB38" s="497"/>
      <c r="AC38" s="493"/>
      <c r="AD38" s="504"/>
      <c r="AE38" s="415"/>
      <c r="AF38" s="504"/>
      <c r="AG38" s="415"/>
      <c r="AH38" s="504"/>
      <c r="AI38" s="415"/>
      <c r="AJ38" s="504"/>
      <c r="AK38" s="415"/>
      <c r="AL38" s="514">
        <f>SUM(B38,D38,F38,H38,J38,L38,N38,P38,R38,T38,V38,Z38,X38,AB38,AD38,AF38,AH38,AJ38)</f>
        <v>3</v>
      </c>
      <c r="AM38" s="516">
        <f>SUM(C38,E38,G38,I38,K38,M38,O38,Q38,S38,U38,W38,AA38,Y38,AC38,AE38,AG38,AI38,AK38)</f>
        <v>461.6</v>
      </c>
    </row>
    <row r="39" spans="1:39" s="269" customFormat="1" ht="19.5" customHeight="1">
      <c r="A39" s="16" t="s">
        <v>399</v>
      </c>
      <c r="B39" s="498">
        <v>1</v>
      </c>
      <c r="C39" s="494">
        <v>267.3</v>
      </c>
      <c r="D39" s="498"/>
      <c r="E39" s="494"/>
      <c r="F39" s="498"/>
      <c r="G39" s="494"/>
      <c r="H39" s="505"/>
      <c r="I39" s="506"/>
      <c r="J39" s="505"/>
      <c r="K39" s="506"/>
      <c r="L39" s="505"/>
      <c r="M39" s="506"/>
      <c r="N39" s="505"/>
      <c r="O39" s="506"/>
      <c r="P39" s="505"/>
      <c r="Q39" s="494"/>
      <c r="R39" s="505"/>
      <c r="S39" s="506"/>
      <c r="T39" s="505"/>
      <c r="U39" s="506"/>
      <c r="V39" s="505"/>
      <c r="W39" s="506"/>
      <c r="X39" s="498"/>
      <c r="Y39" s="494"/>
      <c r="Z39" s="498">
        <v>2</v>
      </c>
      <c r="AA39" s="494">
        <v>510.3</v>
      </c>
      <c r="AB39" s="498"/>
      <c r="AC39" s="494"/>
      <c r="AD39" s="505"/>
      <c r="AE39" s="506"/>
      <c r="AF39" s="505"/>
      <c r="AG39" s="506"/>
      <c r="AH39" s="505"/>
      <c r="AI39" s="506"/>
      <c r="AJ39" s="505"/>
      <c r="AK39" s="506"/>
      <c r="AL39" s="515">
        <f t="shared" si="5"/>
        <v>3</v>
      </c>
      <c r="AM39" s="517">
        <f t="shared" si="5"/>
        <v>777.6</v>
      </c>
    </row>
    <row r="40" spans="1:39" s="59" customFormat="1" ht="19.5" customHeight="1">
      <c r="A40" s="527" t="s">
        <v>496</v>
      </c>
      <c r="B40" s="555"/>
      <c r="C40" s="556"/>
      <c r="D40" s="555"/>
      <c r="E40" s="556"/>
      <c r="F40" s="555"/>
      <c r="G40" s="556"/>
      <c r="H40" s="557"/>
      <c r="I40" s="558"/>
      <c r="J40" s="557"/>
      <c r="K40" s="558"/>
      <c r="L40" s="557"/>
      <c r="M40" s="558"/>
      <c r="N40" s="557"/>
      <c r="O40" s="558"/>
      <c r="P40" s="557"/>
      <c r="Q40" s="556"/>
      <c r="R40" s="557"/>
      <c r="S40" s="558"/>
      <c r="T40" s="557"/>
      <c r="U40" s="558"/>
      <c r="V40" s="557"/>
      <c r="W40" s="558"/>
      <c r="X40" s="557"/>
      <c r="Y40" s="558"/>
      <c r="Z40" s="555"/>
      <c r="AA40" s="556"/>
      <c r="AB40" s="555"/>
      <c r="AC40" s="556"/>
      <c r="AD40" s="555"/>
      <c r="AE40" s="556"/>
      <c r="AF40" s="555"/>
      <c r="AG40" s="556"/>
      <c r="AH40" s="555"/>
      <c r="AI40" s="556"/>
      <c r="AJ40" s="555"/>
      <c r="AK40" s="556"/>
      <c r="AL40" s="559"/>
      <c r="AM40" s="560"/>
    </row>
    <row r="41" spans="1:39" s="59" customFormat="1" ht="19.5" customHeight="1">
      <c r="A41" s="10" t="s">
        <v>130</v>
      </c>
      <c r="B41" s="497"/>
      <c r="C41" s="493">
        <v>184.8</v>
      </c>
      <c r="D41" s="497"/>
      <c r="E41" s="493"/>
      <c r="F41" s="497"/>
      <c r="G41" s="493"/>
      <c r="H41" s="504"/>
      <c r="I41" s="415"/>
      <c r="J41" s="504"/>
      <c r="K41" s="415"/>
      <c r="L41" s="504"/>
      <c r="M41" s="415"/>
      <c r="N41" s="504"/>
      <c r="O41" s="415">
        <v>646.1</v>
      </c>
      <c r="P41" s="504"/>
      <c r="Q41" s="493"/>
      <c r="R41" s="504"/>
      <c r="S41" s="415"/>
      <c r="T41" s="504"/>
      <c r="U41" s="415"/>
      <c r="V41" s="504">
        <v>3</v>
      </c>
      <c r="W41" s="415">
        <v>356.4</v>
      </c>
      <c r="X41" s="497">
        <v>1</v>
      </c>
      <c r="Y41" s="493">
        <v>153.2</v>
      </c>
      <c r="Z41" s="497"/>
      <c r="AA41" s="493"/>
      <c r="AB41" s="497"/>
      <c r="AC41" s="493">
        <v>607.8</v>
      </c>
      <c r="AD41" s="504"/>
      <c r="AE41" s="415"/>
      <c r="AF41" s="504">
        <v>2</v>
      </c>
      <c r="AG41" s="415">
        <v>317.6</v>
      </c>
      <c r="AH41" s="504"/>
      <c r="AI41" s="415">
        <v>309</v>
      </c>
      <c r="AJ41" s="504"/>
      <c r="AK41" s="415"/>
      <c r="AL41" s="514">
        <f aca="true" t="shared" si="6" ref="AL41:AL70">SUM(B41,D41,F41,H41,J41,L41,N41,P41,R41,T41,V41,Z41,X41,AB41,AD41,AF41,AH41,AJ41)</f>
        <v>6</v>
      </c>
      <c r="AM41" s="516">
        <f aca="true" t="shared" si="7" ref="AM41:AM70">SUM(C41,E41,G41,I41,K41,M41,O41,Q41,S41,U41,W41,AA41,Y41,AC41,AE41,AG41,AI41,AK41)</f>
        <v>2574.9</v>
      </c>
    </row>
    <row r="42" spans="1:39" s="96" customFormat="1" ht="19.5" customHeight="1">
      <c r="A42" s="10" t="s">
        <v>25</v>
      </c>
      <c r="B42" s="497"/>
      <c r="C42" s="493"/>
      <c r="D42" s="497"/>
      <c r="E42" s="493"/>
      <c r="F42" s="497"/>
      <c r="G42" s="493"/>
      <c r="H42" s="504"/>
      <c r="I42" s="415"/>
      <c r="J42" s="504"/>
      <c r="K42" s="415"/>
      <c r="L42" s="504"/>
      <c r="M42" s="415"/>
      <c r="N42" s="504"/>
      <c r="O42" s="415"/>
      <c r="P42" s="504"/>
      <c r="Q42" s="493"/>
      <c r="R42" s="504"/>
      <c r="S42" s="415"/>
      <c r="T42" s="504"/>
      <c r="U42" s="415"/>
      <c r="V42" s="504"/>
      <c r="W42" s="415"/>
      <c r="X42" s="497"/>
      <c r="Y42" s="493"/>
      <c r="Z42" s="497">
        <v>2</v>
      </c>
      <c r="AA42" s="493">
        <v>181.8</v>
      </c>
      <c r="AB42" s="497"/>
      <c r="AC42" s="493"/>
      <c r="AD42" s="504"/>
      <c r="AE42" s="415"/>
      <c r="AF42" s="504"/>
      <c r="AG42" s="415"/>
      <c r="AH42" s="504"/>
      <c r="AI42" s="415"/>
      <c r="AJ42" s="504"/>
      <c r="AK42" s="415"/>
      <c r="AL42" s="514">
        <f t="shared" si="6"/>
        <v>2</v>
      </c>
      <c r="AM42" s="516">
        <f t="shared" si="7"/>
        <v>181.8</v>
      </c>
    </row>
    <row r="43" spans="1:39" s="96" customFormat="1" ht="19.5" customHeight="1">
      <c r="A43" s="10" t="s">
        <v>26</v>
      </c>
      <c r="B43" s="497">
        <v>1</v>
      </c>
      <c r="C43" s="493">
        <v>168.7</v>
      </c>
      <c r="D43" s="497"/>
      <c r="E43" s="493"/>
      <c r="F43" s="497"/>
      <c r="G43" s="493"/>
      <c r="H43" s="504"/>
      <c r="I43" s="415"/>
      <c r="J43" s="504"/>
      <c r="K43" s="415"/>
      <c r="L43" s="504"/>
      <c r="M43" s="415"/>
      <c r="N43" s="504"/>
      <c r="O43" s="415"/>
      <c r="P43" s="504"/>
      <c r="Q43" s="493"/>
      <c r="R43" s="504"/>
      <c r="S43" s="415"/>
      <c r="T43" s="504"/>
      <c r="U43" s="415"/>
      <c r="V43" s="504">
        <v>2</v>
      </c>
      <c r="W43" s="415">
        <v>159.3</v>
      </c>
      <c r="X43" s="497"/>
      <c r="Y43" s="493"/>
      <c r="Z43" s="497"/>
      <c r="AA43" s="493"/>
      <c r="AB43" s="497"/>
      <c r="AC43" s="493"/>
      <c r="AD43" s="504"/>
      <c r="AE43" s="415">
        <v>568.7</v>
      </c>
      <c r="AF43" s="504"/>
      <c r="AG43" s="415"/>
      <c r="AH43" s="504"/>
      <c r="AI43" s="415"/>
      <c r="AJ43" s="504"/>
      <c r="AK43" s="415"/>
      <c r="AL43" s="514">
        <f t="shared" si="6"/>
        <v>3</v>
      </c>
      <c r="AM43" s="516">
        <f t="shared" si="7"/>
        <v>896.7</v>
      </c>
    </row>
    <row r="44" spans="1:39" s="59" customFormat="1" ht="19.5" customHeight="1">
      <c r="A44" s="10" t="s">
        <v>27</v>
      </c>
      <c r="B44" s="497">
        <v>3</v>
      </c>
      <c r="C44" s="493">
        <v>422.2</v>
      </c>
      <c r="D44" s="497"/>
      <c r="E44" s="493"/>
      <c r="F44" s="497"/>
      <c r="G44" s="493"/>
      <c r="H44" s="504"/>
      <c r="I44" s="415"/>
      <c r="J44" s="504"/>
      <c r="K44" s="415"/>
      <c r="L44" s="504"/>
      <c r="M44" s="415"/>
      <c r="N44" s="504"/>
      <c r="O44" s="415"/>
      <c r="P44" s="504"/>
      <c r="Q44" s="493"/>
      <c r="R44" s="504"/>
      <c r="S44" s="415"/>
      <c r="T44" s="504"/>
      <c r="U44" s="415"/>
      <c r="V44" s="504">
        <v>1</v>
      </c>
      <c r="W44" s="415">
        <v>94.3</v>
      </c>
      <c r="X44" s="497">
        <v>1</v>
      </c>
      <c r="Y44" s="493">
        <v>128.8</v>
      </c>
      <c r="Z44" s="497">
        <v>1</v>
      </c>
      <c r="AA44" s="493">
        <v>150.9</v>
      </c>
      <c r="AB44" s="497"/>
      <c r="AC44" s="493"/>
      <c r="AD44" s="504"/>
      <c r="AE44" s="415"/>
      <c r="AF44" s="504"/>
      <c r="AG44" s="415"/>
      <c r="AH44" s="504"/>
      <c r="AI44" s="415"/>
      <c r="AJ44" s="504"/>
      <c r="AK44" s="415"/>
      <c r="AL44" s="514">
        <f>SUM(B44,D44,F44,H44,J44,L44,N44,P44,R44,T44,V44,Z44,X44,AB44,AD44,AF44,AH44,AJ44)</f>
        <v>6</v>
      </c>
      <c r="AM44" s="516">
        <f>SUM(C44,E44,G44,I44,K44,M44,O44,Q44,S44,U44,W44,AA44,Y44,AC44,AE44,AG44,AI44,AK44)</f>
        <v>796.2</v>
      </c>
    </row>
    <row r="45" spans="1:39" s="269" customFormat="1" ht="19.5" customHeight="1">
      <c r="A45" s="10" t="s">
        <v>400</v>
      </c>
      <c r="B45" s="497">
        <f>1+2</f>
        <v>3</v>
      </c>
      <c r="C45" s="493">
        <f>109.1+295.5</f>
        <v>404.6</v>
      </c>
      <c r="D45" s="497"/>
      <c r="E45" s="493"/>
      <c r="F45" s="497"/>
      <c r="G45" s="493"/>
      <c r="H45" s="504"/>
      <c r="I45" s="415"/>
      <c r="J45" s="504"/>
      <c r="K45" s="415"/>
      <c r="L45" s="504"/>
      <c r="M45" s="415"/>
      <c r="N45" s="504"/>
      <c r="O45" s="415"/>
      <c r="P45" s="504"/>
      <c r="Q45" s="493"/>
      <c r="R45" s="504"/>
      <c r="S45" s="415"/>
      <c r="T45" s="504"/>
      <c r="U45" s="415"/>
      <c r="V45" s="504"/>
      <c r="W45" s="415"/>
      <c r="X45" s="497"/>
      <c r="Y45" s="493"/>
      <c r="Z45" s="497"/>
      <c r="AA45" s="493"/>
      <c r="AB45" s="497"/>
      <c r="AC45" s="493"/>
      <c r="AD45" s="504">
        <v>1</v>
      </c>
      <c r="AE45" s="415">
        <v>242.8</v>
      </c>
      <c r="AF45" s="504"/>
      <c r="AG45" s="415"/>
      <c r="AH45" s="504"/>
      <c r="AI45" s="415"/>
      <c r="AJ45" s="504"/>
      <c r="AK45" s="415"/>
      <c r="AL45" s="514">
        <f t="shared" si="6"/>
        <v>4</v>
      </c>
      <c r="AM45" s="516">
        <f t="shared" si="7"/>
        <v>647.4000000000001</v>
      </c>
    </row>
    <row r="46" spans="1:39" s="59" customFormat="1" ht="19.5" customHeight="1">
      <c r="A46" s="10" t="s">
        <v>197</v>
      </c>
      <c r="B46" s="497"/>
      <c r="C46" s="493"/>
      <c r="D46" s="497"/>
      <c r="E46" s="493"/>
      <c r="F46" s="497"/>
      <c r="G46" s="493"/>
      <c r="H46" s="504"/>
      <c r="I46" s="415"/>
      <c r="J46" s="504"/>
      <c r="K46" s="415"/>
      <c r="L46" s="504"/>
      <c r="M46" s="415"/>
      <c r="N46" s="504"/>
      <c r="O46" s="415"/>
      <c r="P46" s="504"/>
      <c r="Q46" s="493"/>
      <c r="R46" s="504"/>
      <c r="S46" s="415"/>
      <c r="T46" s="504"/>
      <c r="U46" s="415"/>
      <c r="V46" s="504"/>
      <c r="W46" s="415"/>
      <c r="X46" s="497">
        <v>2</v>
      </c>
      <c r="Y46" s="493">
        <v>387.2</v>
      </c>
      <c r="Z46" s="497"/>
      <c r="AA46" s="493"/>
      <c r="AB46" s="497"/>
      <c r="AC46" s="493"/>
      <c r="AD46" s="504"/>
      <c r="AE46" s="415"/>
      <c r="AF46" s="504">
        <v>2</v>
      </c>
      <c r="AG46" s="415">
        <v>390.3</v>
      </c>
      <c r="AH46" s="504"/>
      <c r="AI46" s="415"/>
      <c r="AJ46" s="504"/>
      <c r="AK46" s="415"/>
      <c r="AL46" s="514">
        <f t="shared" si="6"/>
        <v>4</v>
      </c>
      <c r="AM46" s="516">
        <f t="shared" si="7"/>
        <v>777.5</v>
      </c>
    </row>
    <row r="47" spans="1:39" s="59" customFormat="1" ht="19.5" customHeight="1">
      <c r="A47" s="10" t="s">
        <v>401</v>
      </c>
      <c r="B47" s="497"/>
      <c r="C47" s="493"/>
      <c r="D47" s="497"/>
      <c r="E47" s="493"/>
      <c r="F47" s="497"/>
      <c r="G47" s="493"/>
      <c r="H47" s="504"/>
      <c r="I47" s="415"/>
      <c r="J47" s="504"/>
      <c r="K47" s="415"/>
      <c r="L47" s="504"/>
      <c r="M47" s="415"/>
      <c r="N47" s="504"/>
      <c r="O47" s="415"/>
      <c r="P47" s="504"/>
      <c r="Q47" s="493"/>
      <c r="R47" s="504"/>
      <c r="S47" s="415"/>
      <c r="T47" s="504"/>
      <c r="U47" s="415"/>
      <c r="V47" s="504">
        <v>1</v>
      </c>
      <c r="W47" s="415">
        <v>47.8</v>
      </c>
      <c r="X47" s="497"/>
      <c r="Y47" s="493"/>
      <c r="Z47" s="497"/>
      <c r="AA47" s="493"/>
      <c r="AB47" s="497"/>
      <c r="AC47" s="493"/>
      <c r="AD47" s="504"/>
      <c r="AE47" s="415"/>
      <c r="AF47" s="504"/>
      <c r="AG47" s="415"/>
      <c r="AH47" s="504"/>
      <c r="AI47" s="415"/>
      <c r="AJ47" s="504"/>
      <c r="AK47" s="415"/>
      <c r="AL47" s="514">
        <f>SUM(B47,D47,F47,H47,J47,L47,N47,P47,R47,T47,V47,Z47,X47,AB47,AD47,AF47,AH47,AJ47)</f>
        <v>1</v>
      </c>
      <c r="AM47" s="516">
        <f>SUM(C47,E47,G47,I47,K47,M47,O47,Q47,S47,U47,W47,AA47,Y47,AC47,AE47,AG47,AI47,AK47)</f>
        <v>47.8</v>
      </c>
    </row>
    <row r="48" spans="1:39" s="59" customFormat="1" ht="19.5" customHeight="1">
      <c r="A48" s="10" t="s">
        <v>28</v>
      </c>
      <c r="B48" s="497"/>
      <c r="C48" s="493"/>
      <c r="D48" s="497"/>
      <c r="E48" s="493"/>
      <c r="F48" s="497"/>
      <c r="G48" s="493"/>
      <c r="H48" s="504"/>
      <c r="I48" s="415"/>
      <c r="J48" s="504">
        <v>1</v>
      </c>
      <c r="K48" s="415">
        <v>415.7</v>
      </c>
      <c r="L48" s="504"/>
      <c r="M48" s="415"/>
      <c r="N48" s="504"/>
      <c r="O48" s="415"/>
      <c r="P48" s="504"/>
      <c r="Q48" s="493"/>
      <c r="R48" s="504"/>
      <c r="S48" s="415"/>
      <c r="T48" s="504"/>
      <c r="U48" s="415"/>
      <c r="V48" s="504"/>
      <c r="W48" s="415"/>
      <c r="X48" s="497">
        <v>1</v>
      </c>
      <c r="Y48" s="493">
        <v>281.3</v>
      </c>
      <c r="Z48" s="497"/>
      <c r="AA48" s="493"/>
      <c r="AB48" s="497"/>
      <c r="AC48" s="493"/>
      <c r="AD48" s="504"/>
      <c r="AE48" s="415"/>
      <c r="AF48" s="504"/>
      <c r="AG48" s="415"/>
      <c r="AH48" s="504"/>
      <c r="AI48" s="415"/>
      <c r="AJ48" s="504"/>
      <c r="AK48" s="415"/>
      <c r="AL48" s="514">
        <f t="shared" si="6"/>
        <v>2</v>
      </c>
      <c r="AM48" s="516">
        <f t="shared" si="7"/>
        <v>697</v>
      </c>
    </row>
    <row r="49" spans="1:39" s="59" customFormat="1" ht="19.5" customHeight="1">
      <c r="A49" s="10" t="s">
        <v>410</v>
      </c>
      <c r="B49" s="497"/>
      <c r="C49" s="493"/>
      <c r="D49" s="497"/>
      <c r="E49" s="493"/>
      <c r="F49" s="497"/>
      <c r="G49" s="493"/>
      <c r="H49" s="504"/>
      <c r="I49" s="415"/>
      <c r="J49" s="504"/>
      <c r="K49" s="415"/>
      <c r="L49" s="504"/>
      <c r="M49" s="415"/>
      <c r="N49" s="504"/>
      <c r="O49" s="415"/>
      <c r="P49" s="504"/>
      <c r="Q49" s="493"/>
      <c r="R49" s="504"/>
      <c r="S49" s="415"/>
      <c r="T49" s="504"/>
      <c r="U49" s="415"/>
      <c r="V49" s="504"/>
      <c r="W49" s="415"/>
      <c r="X49" s="497"/>
      <c r="Y49" s="493"/>
      <c r="Z49" s="497">
        <v>2</v>
      </c>
      <c r="AA49" s="493">
        <v>182.2</v>
      </c>
      <c r="AB49" s="497"/>
      <c r="AC49" s="493"/>
      <c r="AD49" s="504"/>
      <c r="AE49" s="415"/>
      <c r="AF49" s="504"/>
      <c r="AG49" s="415"/>
      <c r="AH49" s="504"/>
      <c r="AI49" s="415"/>
      <c r="AJ49" s="504"/>
      <c r="AK49" s="415"/>
      <c r="AL49" s="514">
        <f t="shared" si="6"/>
        <v>2</v>
      </c>
      <c r="AM49" s="516">
        <f t="shared" si="7"/>
        <v>182.2</v>
      </c>
    </row>
    <row r="50" spans="1:39" s="59" customFormat="1" ht="19.5" customHeight="1">
      <c r="A50" s="10" t="s">
        <v>404</v>
      </c>
      <c r="B50" s="497"/>
      <c r="C50" s="493"/>
      <c r="D50" s="497"/>
      <c r="E50" s="493"/>
      <c r="F50" s="497"/>
      <c r="G50" s="493"/>
      <c r="H50" s="504"/>
      <c r="I50" s="415"/>
      <c r="J50" s="504"/>
      <c r="K50" s="415"/>
      <c r="L50" s="504"/>
      <c r="M50" s="415"/>
      <c r="N50" s="504"/>
      <c r="O50" s="415"/>
      <c r="P50" s="504"/>
      <c r="Q50" s="493"/>
      <c r="R50" s="504"/>
      <c r="S50" s="415"/>
      <c r="T50" s="504"/>
      <c r="U50" s="415"/>
      <c r="V50" s="504"/>
      <c r="W50" s="415"/>
      <c r="X50" s="497"/>
      <c r="Y50" s="493"/>
      <c r="Z50" s="497">
        <v>2</v>
      </c>
      <c r="AA50" s="493">
        <v>182.4</v>
      </c>
      <c r="AB50" s="497"/>
      <c r="AC50" s="493"/>
      <c r="AD50" s="504"/>
      <c r="AE50" s="415"/>
      <c r="AF50" s="504"/>
      <c r="AG50" s="415"/>
      <c r="AH50" s="504"/>
      <c r="AI50" s="415"/>
      <c r="AJ50" s="504"/>
      <c r="AK50" s="415"/>
      <c r="AL50" s="514">
        <f>SUM(B50,D50,F50,H50,J50,L50,N50,P50,R50,T50,V50,Z50,X50,AB50,AD50,AF50,AH50,AJ50)</f>
        <v>2</v>
      </c>
      <c r="AM50" s="516">
        <f>SUM(C50,E50,G50,I50,K50,M50,O50,Q50,S50,U50,W50,AA50,Y50,AC50,AE50,AG50,AI50,AK50)</f>
        <v>182.4</v>
      </c>
    </row>
    <row r="51" spans="1:39" s="59" customFormat="1" ht="19.5" customHeight="1">
      <c r="A51" s="10" t="s">
        <v>29</v>
      </c>
      <c r="B51" s="497">
        <f>1+4</f>
        <v>5</v>
      </c>
      <c r="C51" s="493">
        <f>509.5+588.8</f>
        <v>1098.3</v>
      </c>
      <c r="D51" s="497"/>
      <c r="E51" s="493"/>
      <c r="F51" s="497"/>
      <c r="G51" s="493"/>
      <c r="H51" s="504"/>
      <c r="I51" s="415"/>
      <c r="J51" s="504">
        <v>1</v>
      </c>
      <c r="K51" s="415">
        <v>177</v>
      </c>
      <c r="L51" s="504"/>
      <c r="M51" s="415"/>
      <c r="N51" s="504"/>
      <c r="O51" s="415"/>
      <c r="P51" s="504"/>
      <c r="Q51" s="493"/>
      <c r="R51" s="504"/>
      <c r="S51" s="415"/>
      <c r="T51" s="504"/>
      <c r="U51" s="415"/>
      <c r="V51" s="504">
        <f>5</f>
        <v>5</v>
      </c>
      <c r="W51" s="415">
        <f>494.6</f>
        <v>494.6</v>
      </c>
      <c r="X51" s="497">
        <f>2+2</f>
        <v>4</v>
      </c>
      <c r="Y51" s="493">
        <f>319.2+261</f>
        <v>580.2</v>
      </c>
      <c r="Z51" s="497">
        <f>2+8+2</f>
        <v>12</v>
      </c>
      <c r="AA51" s="493">
        <f>114+359.7+1010.1+182.2</f>
        <v>1666</v>
      </c>
      <c r="AB51" s="497"/>
      <c r="AC51" s="493"/>
      <c r="AD51" s="504">
        <v>1</v>
      </c>
      <c r="AE51" s="415">
        <v>374.9</v>
      </c>
      <c r="AF51" s="504"/>
      <c r="AG51" s="415"/>
      <c r="AH51" s="504"/>
      <c r="AI51" s="415"/>
      <c r="AJ51" s="504"/>
      <c r="AK51" s="415"/>
      <c r="AL51" s="514">
        <f t="shared" si="6"/>
        <v>28</v>
      </c>
      <c r="AM51" s="516">
        <f t="shared" si="7"/>
        <v>4391</v>
      </c>
    </row>
    <row r="52" spans="1:39" s="59" customFormat="1" ht="19.5" customHeight="1">
      <c r="A52" s="10" t="s">
        <v>113</v>
      </c>
      <c r="B52" s="497"/>
      <c r="C52" s="493"/>
      <c r="D52" s="497"/>
      <c r="E52" s="493"/>
      <c r="F52" s="497"/>
      <c r="G52" s="493"/>
      <c r="H52" s="504"/>
      <c r="I52" s="415"/>
      <c r="J52" s="504"/>
      <c r="K52" s="415"/>
      <c r="L52" s="504"/>
      <c r="M52" s="415"/>
      <c r="N52" s="504"/>
      <c r="O52" s="415"/>
      <c r="P52" s="504"/>
      <c r="Q52" s="493"/>
      <c r="R52" s="504"/>
      <c r="S52" s="415"/>
      <c r="T52" s="504"/>
      <c r="U52" s="415"/>
      <c r="V52" s="504"/>
      <c r="W52" s="415"/>
      <c r="X52" s="497">
        <v>3</v>
      </c>
      <c r="Y52" s="493">
        <v>490.8</v>
      </c>
      <c r="Z52" s="497">
        <v>1</v>
      </c>
      <c r="AA52" s="493">
        <v>156.1</v>
      </c>
      <c r="AB52" s="497"/>
      <c r="AC52" s="493"/>
      <c r="AD52" s="504"/>
      <c r="AE52" s="415"/>
      <c r="AF52" s="504"/>
      <c r="AG52" s="415"/>
      <c r="AH52" s="504"/>
      <c r="AI52" s="415"/>
      <c r="AJ52" s="504"/>
      <c r="AK52" s="415"/>
      <c r="AL52" s="514">
        <f t="shared" si="6"/>
        <v>4</v>
      </c>
      <c r="AM52" s="516">
        <f t="shared" si="7"/>
        <v>646.9</v>
      </c>
    </row>
    <row r="53" spans="1:39" s="280" customFormat="1" ht="19.5" customHeight="1">
      <c r="A53" s="10" t="s">
        <v>30</v>
      </c>
      <c r="B53" s="497">
        <v>6</v>
      </c>
      <c r="C53" s="493">
        <v>835</v>
      </c>
      <c r="D53" s="497"/>
      <c r="E53" s="493"/>
      <c r="F53" s="497"/>
      <c r="G53" s="493"/>
      <c r="H53" s="504"/>
      <c r="I53" s="415"/>
      <c r="J53" s="504"/>
      <c r="K53" s="415"/>
      <c r="L53" s="504"/>
      <c r="M53" s="415"/>
      <c r="N53" s="504"/>
      <c r="O53" s="415"/>
      <c r="P53" s="504"/>
      <c r="Q53" s="493"/>
      <c r="R53" s="504"/>
      <c r="S53" s="415"/>
      <c r="T53" s="504"/>
      <c r="U53" s="415">
        <v>164.3</v>
      </c>
      <c r="V53" s="504">
        <v>2</v>
      </c>
      <c r="W53" s="415">
        <v>205.8</v>
      </c>
      <c r="X53" s="497">
        <v>3</v>
      </c>
      <c r="Y53" s="493">
        <v>466.3</v>
      </c>
      <c r="Z53" s="497">
        <v>4</v>
      </c>
      <c r="AA53" s="493">
        <v>523.5</v>
      </c>
      <c r="AB53" s="497"/>
      <c r="AC53" s="493"/>
      <c r="AD53" s="504">
        <v>1</v>
      </c>
      <c r="AE53" s="415">
        <v>212.4</v>
      </c>
      <c r="AF53" s="504">
        <v>3</v>
      </c>
      <c r="AG53" s="415">
        <v>415.6</v>
      </c>
      <c r="AH53" s="504"/>
      <c r="AI53" s="415"/>
      <c r="AJ53" s="504"/>
      <c r="AK53" s="415"/>
      <c r="AL53" s="514">
        <f t="shared" si="6"/>
        <v>19</v>
      </c>
      <c r="AM53" s="516">
        <f t="shared" si="7"/>
        <v>2822.9</v>
      </c>
    </row>
    <row r="54" spans="1:39" s="244" customFormat="1" ht="19.5" customHeight="1">
      <c r="A54" s="10" t="s">
        <v>31</v>
      </c>
      <c r="B54" s="497">
        <v>1</v>
      </c>
      <c r="C54" s="493">
        <v>109.5</v>
      </c>
      <c r="D54" s="497"/>
      <c r="E54" s="493"/>
      <c r="F54" s="497"/>
      <c r="G54" s="493"/>
      <c r="H54" s="504"/>
      <c r="I54" s="415"/>
      <c r="J54" s="504">
        <v>1</v>
      </c>
      <c r="K54" s="415">
        <v>120.6</v>
      </c>
      <c r="L54" s="504"/>
      <c r="M54" s="415"/>
      <c r="N54" s="504"/>
      <c r="O54" s="415"/>
      <c r="P54" s="504"/>
      <c r="Q54" s="493"/>
      <c r="R54" s="504"/>
      <c r="S54" s="415"/>
      <c r="T54" s="504"/>
      <c r="U54" s="415"/>
      <c r="V54" s="504"/>
      <c r="W54" s="415"/>
      <c r="X54" s="497"/>
      <c r="Y54" s="493"/>
      <c r="Z54" s="497">
        <v>3</v>
      </c>
      <c r="AA54" s="493">
        <v>391.9</v>
      </c>
      <c r="AB54" s="497"/>
      <c r="AC54" s="493"/>
      <c r="AD54" s="504"/>
      <c r="AE54" s="415"/>
      <c r="AF54" s="504">
        <v>1</v>
      </c>
      <c r="AG54" s="415">
        <v>181.7</v>
      </c>
      <c r="AH54" s="504"/>
      <c r="AI54" s="415"/>
      <c r="AJ54" s="504"/>
      <c r="AK54" s="415"/>
      <c r="AL54" s="514">
        <f t="shared" si="6"/>
        <v>6</v>
      </c>
      <c r="AM54" s="516">
        <f t="shared" si="7"/>
        <v>803.7</v>
      </c>
    </row>
    <row r="55" spans="1:39" s="59" customFormat="1" ht="19.5" customHeight="1">
      <c r="A55" s="10" t="s">
        <v>228</v>
      </c>
      <c r="B55" s="497"/>
      <c r="C55" s="493"/>
      <c r="D55" s="497"/>
      <c r="E55" s="493"/>
      <c r="F55" s="497"/>
      <c r="G55" s="493"/>
      <c r="H55" s="504"/>
      <c r="I55" s="415"/>
      <c r="J55" s="504"/>
      <c r="K55" s="415"/>
      <c r="L55" s="504"/>
      <c r="M55" s="415"/>
      <c r="N55" s="504"/>
      <c r="O55" s="415"/>
      <c r="P55" s="504"/>
      <c r="Q55" s="493"/>
      <c r="R55" s="504"/>
      <c r="S55" s="415"/>
      <c r="T55" s="504"/>
      <c r="U55" s="415"/>
      <c r="V55" s="504"/>
      <c r="W55" s="415"/>
      <c r="X55" s="497"/>
      <c r="Y55" s="493"/>
      <c r="Z55" s="497"/>
      <c r="AA55" s="493"/>
      <c r="AB55" s="497"/>
      <c r="AC55" s="493"/>
      <c r="AD55" s="504"/>
      <c r="AE55" s="415"/>
      <c r="AF55" s="504"/>
      <c r="AG55" s="415"/>
      <c r="AH55" s="504"/>
      <c r="AI55" s="415"/>
      <c r="AJ55" s="504"/>
      <c r="AK55" s="415"/>
      <c r="AL55" s="514">
        <f t="shared" si="6"/>
        <v>0</v>
      </c>
      <c r="AM55" s="516">
        <f t="shared" si="7"/>
        <v>0</v>
      </c>
    </row>
    <row r="56" spans="1:39" s="59" customFormat="1" ht="19.5" customHeight="1">
      <c r="A56" s="10" t="s">
        <v>32</v>
      </c>
      <c r="B56" s="497"/>
      <c r="C56" s="493"/>
      <c r="D56" s="497"/>
      <c r="E56" s="493"/>
      <c r="F56" s="497"/>
      <c r="G56" s="493"/>
      <c r="H56" s="504"/>
      <c r="I56" s="415"/>
      <c r="J56" s="504"/>
      <c r="K56" s="415"/>
      <c r="L56" s="504"/>
      <c r="M56" s="415"/>
      <c r="N56" s="504"/>
      <c r="O56" s="415"/>
      <c r="P56" s="504"/>
      <c r="Q56" s="493"/>
      <c r="R56" s="504"/>
      <c r="S56" s="415"/>
      <c r="T56" s="504"/>
      <c r="U56" s="415"/>
      <c r="V56" s="504"/>
      <c r="W56" s="415"/>
      <c r="X56" s="497"/>
      <c r="Y56" s="493"/>
      <c r="Z56" s="497"/>
      <c r="AA56" s="493"/>
      <c r="AB56" s="497"/>
      <c r="AC56" s="493"/>
      <c r="AD56" s="504"/>
      <c r="AE56" s="415"/>
      <c r="AF56" s="504"/>
      <c r="AG56" s="415"/>
      <c r="AH56" s="504"/>
      <c r="AI56" s="415"/>
      <c r="AJ56" s="504"/>
      <c r="AK56" s="415"/>
      <c r="AL56" s="514">
        <f t="shared" si="6"/>
        <v>0</v>
      </c>
      <c r="AM56" s="516">
        <f t="shared" si="7"/>
        <v>0</v>
      </c>
    </row>
    <row r="57" spans="1:39" s="59" customFormat="1" ht="19.5" customHeight="1">
      <c r="A57" s="10" t="s">
        <v>33</v>
      </c>
      <c r="B57" s="497"/>
      <c r="C57" s="493"/>
      <c r="D57" s="497"/>
      <c r="E57" s="493"/>
      <c r="F57" s="497"/>
      <c r="G57" s="493"/>
      <c r="H57" s="504"/>
      <c r="I57" s="415"/>
      <c r="J57" s="504"/>
      <c r="K57" s="415"/>
      <c r="L57" s="504"/>
      <c r="M57" s="415"/>
      <c r="N57" s="504"/>
      <c r="O57" s="415"/>
      <c r="P57" s="504"/>
      <c r="Q57" s="493"/>
      <c r="R57" s="504"/>
      <c r="S57" s="415"/>
      <c r="T57" s="504"/>
      <c r="U57" s="415"/>
      <c r="V57" s="504"/>
      <c r="W57" s="415"/>
      <c r="X57" s="497">
        <f>2+1</f>
        <v>3</v>
      </c>
      <c r="Y57" s="493">
        <f>316.6+151.5</f>
        <v>468.1</v>
      </c>
      <c r="Z57" s="497">
        <v>1</v>
      </c>
      <c r="AA57" s="493">
        <v>133</v>
      </c>
      <c r="AB57" s="497"/>
      <c r="AC57" s="493"/>
      <c r="AD57" s="504">
        <v>2</v>
      </c>
      <c r="AE57" s="415">
        <v>461.1</v>
      </c>
      <c r="AF57" s="504">
        <v>4</v>
      </c>
      <c r="AG57" s="415">
        <v>499.3</v>
      </c>
      <c r="AH57" s="504"/>
      <c r="AI57" s="415"/>
      <c r="AJ57" s="504"/>
      <c r="AK57" s="415"/>
      <c r="AL57" s="514">
        <f t="shared" si="6"/>
        <v>10</v>
      </c>
      <c r="AM57" s="516">
        <f t="shared" si="7"/>
        <v>1561.5</v>
      </c>
    </row>
    <row r="58" spans="1:39" s="59" customFormat="1" ht="19.5" customHeight="1">
      <c r="A58" s="10" t="s">
        <v>34</v>
      </c>
      <c r="B58" s="497"/>
      <c r="C58" s="493"/>
      <c r="D58" s="497"/>
      <c r="E58" s="493"/>
      <c r="F58" s="497"/>
      <c r="G58" s="493"/>
      <c r="H58" s="504"/>
      <c r="I58" s="415"/>
      <c r="J58" s="504"/>
      <c r="K58" s="415"/>
      <c r="L58" s="504"/>
      <c r="M58" s="415"/>
      <c r="N58" s="504"/>
      <c r="O58" s="415"/>
      <c r="P58" s="504"/>
      <c r="Q58" s="493"/>
      <c r="R58" s="504"/>
      <c r="S58" s="415"/>
      <c r="T58" s="504"/>
      <c r="U58" s="415"/>
      <c r="V58" s="504"/>
      <c r="W58" s="415"/>
      <c r="X58" s="497">
        <v>1</v>
      </c>
      <c r="Y58" s="493">
        <v>171.8</v>
      </c>
      <c r="Z58" s="497">
        <v>4</v>
      </c>
      <c r="AA58" s="493">
        <v>361.9</v>
      </c>
      <c r="AB58" s="497"/>
      <c r="AC58" s="493"/>
      <c r="AD58" s="504"/>
      <c r="AE58" s="415"/>
      <c r="AF58" s="504">
        <v>1</v>
      </c>
      <c r="AG58" s="415">
        <v>171.5</v>
      </c>
      <c r="AH58" s="504"/>
      <c r="AI58" s="415"/>
      <c r="AJ58" s="504"/>
      <c r="AK58" s="415"/>
      <c r="AL58" s="514">
        <f t="shared" si="6"/>
        <v>6</v>
      </c>
      <c r="AM58" s="516">
        <f t="shared" si="7"/>
        <v>705.2</v>
      </c>
    </row>
    <row r="59" spans="1:39" s="59" customFormat="1" ht="19.5" customHeight="1">
      <c r="A59" s="10" t="s">
        <v>35</v>
      </c>
      <c r="B59" s="497">
        <v>1</v>
      </c>
      <c r="C59" s="493">
        <f>185.9+151.6</f>
        <v>337.5</v>
      </c>
      <c r="D59" s="497"/>
      <c r="E59" s="493"/>
      <c r="F59" s="497"/>
      <c r="G59" s="493"/>
      <c r="H59" s="504"/>
      <c r="I59" s="415"/>
      <c r="J59" s="504"/>
      <c r="K59" s="415"/>
      <c r="L59" s="504"/>
      <c r="M59" s="415"/>
      <c r="N59" s="504"/>
      <c r="O59" s="415"/>
      <c r="P59" s="504"/>
      <c r="Q59" s="493"/>
      <c r="R59" s="504"/>
      <c r="S59" s="415"/>
      <c r="T59" s="504"/>
      <c r="U59" s="415"/>
      <c r="V59" s="504"/>
      <c r="W59" s="415"/>
      <c r="X59" s="497">
        <v>1</v>
      </c>
      <c r="Y59" s="493">
        <v>165.1</v>
      </c>
      <c r="Z59" s="497"/>
      <c r="AA59" s="493"/>
      <c r="AB59" s="497"/>
      <c r="AC59" s="493"/>
      <c r="AD59" s="504"/>
      <c r="AE59" s="415"/>
      <c r="AF59" s="504">
        <v>1</v>
      </c>
      <c r="AG59" s="415">
        <v>292.6</v>
      </c>
      <c r="AH59" s="504"/>
      <c r="AI59" s="415"/>
      <c r="AJ59" s="504"/>
      <c r="AK59" s="415"/>
      <c r="AL59" s="514">
        <f t="shared" si="6"/>
        <v>3</v>
      </c>
      <c r="AM59" s="516">
        <f t="shared" si="7"/>
        <v>795.2</v>
      </c>
    </row>
    <row r="60" spans="1:39" s="59" customFormat="1" ht="19.5" customHeight="1">
      <c r="A60" s="10" t="s">
        <v>36</v>
      </c>
      <c r="B60" s="497">
        <v>3</v>
      </c>
      <c r="C60" s="493">
        <v>528.4</v>
      </c>
      <c r="D60" s="497"/>
      <c r="E60" s="493"/>
      <c r="F60" s="497"/>
      <c r="G60" s="493"/>
      <c r="H60" s="504"/>
      <c r="I60" s="415"/>
      <c r="J60" s="504"/>
      <c r="K60" s="415"/>
      <c r="L60" s="504"/>
      <c r="M60" s="415"/>
      <c r="N60" s="504"/>
      <c r="O60" s="415"/>
      <c r="P60" s="504"/>
      <c r="Q60" s="493"/>
      <c r="R60" s="504"/>
      <c r="S60" s="415"/>
      <c r="T60" s="504"/>
      <c r="U60" s="415"/>
      <c r="V60" s="504"/>
      <c r="W60" s="415"/>
      <c r="X60" s="497"/>
      <c r="Y60" s="493"/>
      <c r="Z60" s="497"/>
      <c r="AA60" s="493"/>
      <c r="AB60" s="497"/>
      <c r="AC60" s="493"/>
      <c r="AD60" s="504"/>
      <c r="AE60" s="415"/>
      <c r="AF60" s="504"/>
      <c r="AG60" s="415"/>
      <c r="AH60" s="504"/>
      <c r="AI60" s="415"/>
      <c r="AJ60" s="504"/>
      <c r="AK60" s="415"/>
      <c r="AL60" s="514">
        <f t="shared" si="6"/>
        <v>3</v>
      </c>
      <c r="AM60" s="516">
        <f t="shared" si="7"/>
        <v>528.4</v>
      </c>
    </row>
    <row r="61" spans="1:39" s="59" customFormat="1" ht="19.5" customHeight="1">
      <c r="A61" s="10" t="s">
        <v>131</v>
      </c>
      <c r="B61" s="497"/>
      <c r="C61" s="493"/>
      <c r="D61" s="497"/>
      <c r="E61" s="493"/>
      <c r="F61" s="497"/>
      <c r="G61" s="493"/>
      <c r="H61" s="504"/>
      <c r="I61" s="415"/>
      <c r="J61" s="504"/>
      <c r="K61" s="415"/>
      <c r="L61" s="504"/>
      <c r="M61" s="415"/>
      <c r="N61" s="504"/>
      <c r="O61" s="415"/>
      <c r="P61" s="504"/>
      <c r="Q61" s="493"/>
      <c r="R61" s="504"/>
      <c r="S61" s="415"/>
      <c r="T61" s="504"/>
      <c r="U61" s="415"/>
      <c r="V61" s="504"/>
      <c r="W61" s="415"/>
      <c r="X61" s="497"/>
      <c r="Y61" s="493"/>
      <c r="Z61" s="497"/>
      <c r="AA61" s="493"/>
      <c r="AB61" s="497"/>
      <c r="AC61" s="493"/>
      <c r="AD61" s="504"/>
      <c r="AE61" s="415"/>
      <c r="AF61" s="504"/>
      <c r="AG61" s="415"/>
      <c r="AH61" s="504"/>
      <c r="AI61" s="415"/>
      <c r="AJ61" s="504"/>
      <c r="AK61" s="415"/>
      <c r="AL61" s="514">
        <f t="shared" si="6"/>
        <v>0</v>
      </c>
      <c r="AM61" s="516">
        <f t="shared" si="7"/>
        <v>0</v>
      </c>
    </row>
    <row r="62" spans="1:39" s="59" customFormat="1" ht="19.5" customHeight="1">
      <c r="A62" s="10" t="s">
        <v>37</v>
      </c>
      <c r="B62" s="497">
        <v>1</v>
      </c>
      <c r="C62" s="493">
        <f>122.7+172.4</f>
        <v>295.1</v>
      </c>
      <c r="D62" s="497"/>
      <c r="E62" s="493"/>
      <c r="F62" s="497"/>
      <c r="G62" s="493"/>
      <c r="H62" s="504"/>
      <c r="I62" s="415"/>
      <c r="J62" s="504"/>
      <c r="K62" s="415"/>
      <c r="L62" s="504"/>
      <c r="M62" s="415"/>
      <c r="N62" s="504"/>
      <c r="O62" s="415"/>
      <c r="P62" s="504"/>
      <c r="Q62" s="493"/>
      <c r="R62" s="504"/>
      <c r="S62" s="415"/>
      <c r="T62" s="504"/>
      <c r="U62" s="415"/>
      <c r="V62" s="504"/>
      <c r="W62" s="415"/>
      <c r="X62" s="497"/>
      <c r="Y62" s="493"/>
      <c r="Z62" s="497">
        <v>3</v>
      </c>
      <c r="AA62" s="493">
        <v>271.2</v>
      </c>
      <c r="AB62" s="497"/>
      <c r="AC62" s="493"/>
      <c r="AD62" s="504">
        <v>7</v>
      </c>
      <c r="AE62" s="415">
        <v>2124.4</v>
      </c>
      <c r="AF62" s="504">
        <v>4</v>
      </c>
      <c r="AG62" s="415">
        <v>627.2</v>
      </c>
      <c r="AH62" s="504"/>
      <c r="AI62" s="415"/>
      <c r="AJ62" s="504"/>
      <c r="AK62" s="415"/>
      <c r="AL62" s="514">
        <f t="shared" si="6"/>
        <v>15</v>
      </c>
      <c r="AM62" s="516">
        <f t="shared" si="7"/>
        <v>3317.8999999999996</v>
      </c>
    </row>
    <row r="63" spans="1:39" s="59" customFormat="1" ht="19.5" customHeight="1">
      <c r="A63" s="10" t="s">
        <v>229</v>
      </c>
      <c r="B63" s="497">
        <v>1</v>
      </c>
      <c r="C63" s="493">
        <v>155.8</v>
      </c>
      <c r="D63" s="497"/>
      <c r="E63" s="493"/>
      <c r="F63" s="497"/>
      <c r="G63" s="493"/>
      <c r="H63" s="504"/>
      <c r="I63" s="415"/>
      <c r="J63" s="504"/>
      <c r="K63" s="415"/>
      <c r="L63" s="504"/>
      <c r="M63" s="415"/>
      <c r="N63" s="504"/>
      <c r="O63" s="415"/>
      <c r="P63" s="504"/>
      <c r="Q63" s="493"/>
      <c r="R63" s="504"/>
      <c r="S63" s="415"/>
      <c r="T63" s="504"/>
      <c r="U63" s="415"/>
      <c r="V63" s="504"/>
      <c r="W63" s="415"/>
      <c r="X63" s="497"/>
      <c r="Y63" s="493"/>
      <c r="Z63" s="497"/>
      <c r="AA63" s="493"/>
      <c r="AB63" s="497"/>
      <c r="AC63" s="493"/>
      <c r="AD63" s="504"/>
      <c r="AE63" s="415"/>
      <c r="AF63" s="504"/>
      <c r="AG63" s="415"/>
      <c r="AH63" s="504"/>
      <c r="AI63" s="415"/>
      <c r="AJ63" s="504"/>
      <c r="AK63" s="415"/>
      <c r="AL63" s="514">
        <f t="shared" si="6"/>
        <v>1</v>
      </c>
      <c r="AM63" s="516">
        <f t="shared" si="7"/>
        <v>155.8</v>
      </c>
    </row>
    <row r="64" spans="1:39" s="59" customFormat="1" ht="19.5" customHeight="1">
      <c r="A64" s="10" t="s">
        <v>427</v>
      </c>
      <c r="B64" s="497"/>
      <c r="C64" s="493"/>
      <c r="D64" s="497"/>
      <c r="E64" s="493"/>
      <c r="F64" s="497"/>
      <c r="G64" s="493"/>
      <c r="H64" s="504"/>
      <c r="I64" s="415"/>
      <c r="J64" s="504"/>
      <c r="K64" s="415"/>
      <c r="L64" s="504"/>
      <c r="M64" s="415"/>
      <c r="N64" s="504"/>
      <c r="O64" s="415"/>
      <c r="P64" s="504"/>
      <c r="Q64" s="493"/>
      <c r="R64" s="504"/>
      <c r="S64" s="415"/>
      <c r="T64" s="504"/>
      <c r="U64" s="415"/>
      <c r="V64" s="504"/>
      <c r="W64" s="415"/>
      <c r="X64" s="497"/>
      <c r="Y64" s="493"/>
      <c r="Z64" s="497"/>
      <c r="AA64" s="493"/>
      <c r="AB64" s="497"/>
      <c r="AC64" s="493"/>
      <c r="AD64" s="504"/>
      <c r="AE64" s="415"/>
      <c r="AF64" s="504">
        <v>2</v>
      </c>
      <c r="AG64" s="415">
        <v>290.4</v>
      </c>
      <c r="AH64" s="504"/>
      <c r="AI64" s="415"/>
      <c r="AJ64" s="504"/>
      <c r="AK64" s="415"/>
      <c r="AL64" s="514">
        <f>SUM(B64,D64,F64,H64,J64,L64,N64,P64,R64,T64,V64,Z64,X64,AB64,AD64,AF64,AH64,AJ64)</f>
        <v>2</v>
      </c>
      <c r="AM64" s="516">
        <f>SUM(C64,E64,G64,I64,K64,M64,O64,Q64,S64,U64,W64,AA64,Y64,AC64,AE64,AG64,AI64,AK64)</f>
        <v>290.4</v>
      </c>
    </row>
    <row r="65" spans="1:39" s="96" customFormat="1" ht="19.5" customHeight="1">
      <c r="A65" s="10" t="s">
        <v>38</v>
      </c>
      <c r="B65" s="497">
        <v>4</v>
      </c>
      <c r="C65" s="493">
        <v>517.8</v>
      </c>
      <c r="D65" s="497"/>
      <c r="E65" s="493"/>
      <c r="F65" s="497"/>
      <c r="G65" s="493"/>
      <c r="H65" s="504"/>
      <c r="I65" s="415"/>
      <c r="J65" s="504"/>
      <c r="K65" s="415"/>
      <c r="L65" s="504"/>
      <c r="M65" s="415"/>
      <c r="N65" s="504"/>
      <c r="O65" s="415"/>
      <c r="P65" s="504"/>
      <c r="Q65" s="493"/>
      <c r="R65" s="504"/>
      <c r="S65" s="415"/>
      <c r="T65" s="504"/>
      <c r="U65" s="415"/>
      <c r="V65" s="504"/>
      <c r="W65" s="415"/>
      <c r="X65" s="497"/>
      <c r="Y65" s="493"/>
      <c r="Z65" s="497">
        <v>2</v>
      </c>
      <c r="AA65" s="493">
        <v>115.8</v>
      </c>
      <c r="AB65" s="497"/>
      <c r="AC65" s="493"/>
      <c r="AD65" s="504">
        <f>3+1</f>
        <v>4</v>
      </c>
      <c r="AE65" s="415">
        <f>15.5+205.6</f>
        <v>221.1</v>
      </c>
      <c r="AF65" s="504">
        <v>2</v>
      </c>
      <c r="AG65" s="415">
        <v>283.2</v>
      </c>
      <c r="AH65" s="504"/>
      <c r="AI65" s="415"/>
      <c r="AJ65" s="504"/>
      <c r="AK65" s="415"/>
      <c r="AL65" s="514">
        <f t="shared" si="6"/>
        <v>12</v>
      </c>
      <c r="AM65" s="516">
        <f t="shared" si="7"/>
        <v>1137.8999999999999</v>
      </c>
    </row>
    <row r="66" spans="1:39" s="59" customFormat="1" ht="19.5" customHeight="1">
      <c r="A66" s="10" t="s">
        <v>124</v>
      </c>
      <c r="B66" s="497"/>
      <c r="C66" s="493"/>
      <c r="D66" s="497"/>
      <c r="E66" s="493"/>
      <c r="F66" s="497"/>
      <c r="G66" s="493"/>
      <c r="H66" s="504"/>
      <c r="I66" s="415"/>
      <c r="J66" s="504"/>
      <c r="K66" s="415"/>
      <c r="L66" s="504"/>
      <c r="M66" s="415"/>
      <c r="N66" s="504"/>
      <c r="O66" s="415"/>
      <c r="P66" s="504"/>
      <c r="Q66" s="493"/>
      <c r="R66" s="504"/>
      <c r="S66" s="415"/>
      <c r="T66" s="504"/>
      <c r="U66" s="415"/>
      <c r="V66" s="504"/>
      <c r="W66" s="415"/>
      <c r="X66" s="497">
        <v>3</v>
      </c>
      <c r="Y66" s="493">
        <v>475.6</v>
      </c>
      <c r="Z66" s="497"/>
      <c r="AA66" s="493"/>
      <c r="AB66" s="497"/>
      <c r="AC66" s="493"/>
      <c r="AD66" s="504"/>
      <c r="AE66" s="415"/>
      <c r="AF66" s="504"/>
      <c r="AG66" s="415"/>
      <c r="AH66" s="504"/>
      <c r="AI66" s="415"/>
      <c r="AJ66" s="504"/>
      <c r="AK66" s="415"/>
      <c r="AL66" s="514">
        <f t="shared" si="6"/>
        <v>3</v>
      </c>
      <c r="AM66" s="516">
        <f t="shared" si="7"/>
        <v>475.6</v>
      </c>
    </row>
    <row r="67" spans="1:39" s="59" customFormat="1" ht="19.5" customHeight="1">
      <c r="A67" s="10" t="s">
        <v>39</v>
      </c>
      <c r="B67" s="497"/>
      <c r="C67" s="493"/>
      <c r="D67" s="497"/>
      <c r="E67" s="493"/>
      <c r="F67" s="497"/>
      <c r="G67" s="493"/>
      <c r="H67" s="504"/>
      <c r="I67" s="415"/>
      <c r="J67" s="504"/>
      <c r="K67" s="415"/>
      <c r="L67" s="504"/>
      <c r="M67" s="415"/>
      <c r="N67" s="504"/>
      <c r="O67" s="415"/>
      <c r="P67" s="504"/>
      <c r="Q67" s="493"/>
      <c r="R67" s="504"/>
      <c r="S67" s="415"/>
      <c r="T67" s="504"/>
      <c r="U67" s="415"/>
      <c r="V67" s="504">
        <v>1</v>
      </c>
      <c r="W67" s="415">
        <v>18.6</v>
      </c>
      <c r="X67" s="497"/>
      <c r="Y67" s="493"/>
      <c r="Z67" s="497">
        <f>1+3</f>
        <v>4</v>
      </c>
      <c r="AA67" s="493">
        <f>134.3+178.8</f>
        <v>313.1</v>
      </c>
      <c r="AB67" s="497"/>
      <c r="AC67" s="493"/>
      <c r="AD67" s="504"/>
      <c r="AE67" s="415"/>
      <c r="AF67" s="504"/>
      <c r="AG67" s="415"/>
      <c r="AH67" s="504"/>
      <c r="AI67" s="415"/>
      <c r="AJ67" s="504"/>
      <c r="AK67" s="415"/>
      <c r="AL67" s="514">
        <f t="shared" si="6"/>
        <v>5</v>
      </c>
      <c r="AM67" s="516">
        <f t="shared" si="7"/>
        <v>331.70000000000005</v>
      </c>
    </row>
    <row r="68" spans="1:39" s="59" customFormat="1" ht="19.5" customHeight="1">
      <c r="A68" s="10" t="s">
        <v>40</v>
      </c>
      <c r="B68" s="497"/>
      <c r="C68" s="493"/>
      <c r="D68" s="497"/>
      <c r="E68" s="493"/>
      <c r="F68" s="497"/>
      <c r="G68" s="493"/>
      <c r="H68" s="504"/>
      <c r="I68" s="415"/>
      <c r="J68" s="504"/>
      <c r="K68" s="415"/>
      <c r="L68" s="504"/>
      <c r="M68" s="415"/>
      <c r="N68" s="504"/>
      <c r="O68" s="415"/>
      <c r="P68" s="504"/>
      <c r="Q68" s="493"/>
      <c r="R68" s="504"/>
      <c r="S68" s="415"/>
      <c r="T68" s="504"/>
      <c r="U68" s="415"/>
      <c r="V68" s="504">
        <v>1</v>
      </c>
      <c r="W68" s="415">
        <v>79</v>
      </c>
      <c r="X68" s="497">
        <v>2</v>
      </c>
      <c r="Y68" s="493">
        <v>324.8</v>
      </c>
      <c r="Z68" s="497"/>
      <c r="AA68" s="493"/>
      <c r="AB68" s="497"/>
      <c r="AC68" s="493"/>
      <c r="AD68" s="504">
        <v>1</v>
      </c>
      <c r="AE68" s="415">
        <v>210.8</v>
      </c>
      <c r="AF68" s="504"/>
      <c r="AG68" s="415"/>
      <c r="AH68" s="504"/>
      <c r="AI68" s="415"/>
      <c r="AJ68" s="504"/>
      <c r="AK68" s="415"/>
      <c r="AL68" s="514">
        <f t="shared" si="6"/>
        <v>4</v>
      </c>
      <c r="AM68" s="516">
        <f t="shared" si="7"/>
        <v>614.6</v>
      </c>
    </row>
    <row r="69" spans="1:39" s="230" customFormat="1" ht="19.5" customHeight="1">
      <c r="A69" s="10" t="s">
        <v>41</v>
      </c>
      <c r="B69" s="497"/>
      <c r="C69" s="493"/>
      <c r="D69" s="497"/>
      <c r="E69" s="493"/>
      <c r="F69" s="497"/>
      <c r="G69" s="493"/>
      <c r="H69" s="504"/>
      <c r="I69" s="415"/>
      <c r="J69" s="504"/>
      <c r="K69" s="415"/>
      <c r="L69" s="504"/>
      <c r="M69" s="415"/>
      <c r="N69" s="504"/>
      <c r="O69" s="415"/>
      <c r="P69" s="504"/>
      <c r="Q69" s="493"/>
      <c r="R69" s="504"/>
      <c r="S69" s="415"/>
      <c r="T69" s="504"/>
      <c r="U69" s="415"/>
      <c r="V69" s="504"/>
      <c r="W69" s="415"/>
      <c r="X69" s="497"/>
      <c r="Y69" s="493"/>
      <c r="Z69" s="497">
        <v>2</v>
      </c>
      <c r="AA69" s="493">
        <v>286.6</v>
      </c>
      <c r="AB69" s="497"/>
      <c r="AC69" s="493"/>
      <c r="AD69" s="504"/>
      <c r="AE69" s="415"/>
      <c r="AF69" s="504"/>
      <c r="AG69" s="415"/>
      <c r="AH69" s="504"/>
      <c r="AI69" s="415"/>
      <c r="AJ69" s="504"/>
      <c r="AK69" s="415"/>
      <c r="AL69" s="514">
        <f t="shared" si="6"/>
        <v>2</v>
      </c>
      <c r="AM69" s="516">
        <f t="shared" si="7"/>
        <v>286.6</v>
      </c>
    </row>
    <row r="70" spans="1:39" s="281" customFormat="1" ht="19.5" customHeight="1">
      <c r="A70" s="16" t="s">
        <v>168</v>
      </c>
      <c r="B70" s="498"/>
      <c r="C70" s="494"/>
      <c r="D70" s="498"/>
      <c r="E70" s="494"/>
      <c r="F70" s="498"/>
      <c r="G70" s="494"/>
      <c r="H70" s="505"/>
      <c r="I70" s="506"/>
      <c r="J70" s="505"/>
      <c r="K70" s="506"/>
      <c r="L70" s="505"/>
      <c r="M70" s="506"/>
      <c r="N70" s="505"/>
      <c r="O70" s="506"/>
      <c r="P70" s="505"/>
      <c r="Q70" s="494"/>
      <c r="R70" s="505"/>
      <c r="S70" s="506"/>
      <c r="T70" s="505"/>
      <c r="U70" s="506"/>
      <c r="V70" s="505"/>
      <c r="W70" s="506"/>
      <c r="X70" s="498"/>
      <c r="Y70" s="494"/>
      <c r="Z70" s="498"/>
      <c r="AA70" s="494"/>
      <c r="AB70" s="498"/>
      <c r="AC70" s="494"/>
      <c r="AD70" s="505"/>
      <c r="AE70" s="506"/>
      <c r="AF70" s="505"/>
      <c r="AG70" s="506"/>
      <c r="AH70" s="505"/>
      <c r="AI70" s="506"/>
      <c r="AJ70" s="505"/>
      <c r="AK70" s="506"/>
      <c r="AL70" s="515">
        <f t="shared" si="6"/>
        <v>0</v>
      </c>
      <c r="AM70" s="517">
        <f t="shared" si="7"/>
        <v>0</v>
      </c>
    </row>
    <row r="71" spans="1:39" s="65" customFormat="1" ht="19.5" customHeight="1">
      <c r="A71" s="527" t="s">
        <v>497</v>
      </c>
      <c r="B71" s="555"/>
      <c r="C71" s="556"/>
      <c r="D71" s="555"/>
      <c r="E71" s="556"/>
      <c r="F71" s="555"/>
      <c r="G71" s="556"/>
      <c r="H71" s="557"/>
      <c r="I71" s="558"/>
      <c r="J71" s="557"/>
      <c r="K71" s="558"/>
      <c r="L71" s="557"/>
      <c r="M71" s="558"/>
      <c r="N71" s="557"/>
      <c r="O71" s="558"/>
      <c r="P71" s="557"/>
      <c r="Q71" s="556"/>
      <c r="R71" s="557"/>
      <c r="S71" s="558"/>
      <c r="T71" s="557"/>
      <c r="U71" s="558"/>
      <c r="V71" s="557"/>
      <c r="W71" s="558"/>
      <c r="X71" s="557"/>
      <c r="Y71" s="558"/>
      <c r="Z71" s="555"/>
      <c r="AA71" s="556"/>
      <c r="AB71" s="555"/>
      <c r="AC71" s="556"/>
      <c r="AD71" s="555"/>
      <c r="AE71" s="556"/>
      <c r="AF71" s="555"/>
      <c r="AG71" s="556"/>
      <c r="AH71" s="555"/>
      <c r="AI71" s="556"/>
      <c r="AJ71" s="555"/>
      <c r="AK71" s="556"/>
      <c r="AL71" s="559"/>
      <c r="AM71" s="560"/>
    </row>
    <row r="72" spans="1:39" s="65" customFormat="1" ht="19.5" customHeight="1">
      <c r="A72" s="76" t="s">
        <v>263</v>
      </c>
      <c r="B72" s="497"/>
      <c r="C72" s="493"/>
      <c r="D72" s="497"/>
      <c r="E72" s="493"/>
      <c r="F72" s="497"/>
      <c r="G72" s="493"/>
      <c r="H72" s="504"/>
      <c r="I72" s="415"/>
      <c r="J72" s="504"/>
      <c r="K72" s="415"/>
      <c r="L72" s="504"/>
      <c r="M72" s="415"/>
      <c r="N72" s="504"/>
      <c r="O72" s="415"/>
      <c r="P72" s="504"/>
      <c r="Q72" s="493"/>
      <c r="R72" s="504"/>
      <c r="S72" s="415"/>
      <c r="T72" s="504"/>
      <c r="U72" s="415"/>
      <c r="V72" s="504"/>
      <c r="W72" s="415"/>
      <c r="X72" s="504"/>
      <c r="Y72" s="415"/>
      <c r="Z72" s="497">
        <v>1</v>
      </c>
      <c r="AA72" s="493">
        <v>56.3</v>
      </c>
      <c r="AB72" s="497"/>
      <c r="AC72" s="493"/>
      <c r="AD72" s="497"/>
      <c r="AE72" s="493"/>
      <c r="AF72" s="497">
        <v>2</v>
      </c>
      <c r="AG72" s="493">
        <v>218.4</v>
      </c>
      <c r="AH72" s="497"/>
      <c r="AI72" s="493"/>
      <c r="AJ72" s="497"/>
      <c r="AK72" s="493"/>
      <c r="AL72" s="514">
        <f>SUM(B72,D72,F72,H72,J72,L72,N72,P72,R72,T72,V72,Z72,X72,AB72,AD72,AF72,AH72,AJ72)</f>
        <v>3</v>
      </c>
      <c r="AM72" s="516">
        <f>SUM(C72,E72,G72,I72,K72,M72,O72,Q72,S72,U72,W72,AA72,Y72,AC72,AE72,AG72,AI72,AK72)</f>
        <v>274.7</v>
      </c>
    </row>
    <row r="73" spans="1:39" s="65" customFormat="1" ht="19.5" customHeight="1">
      <c r="A73" s="76" t="s">
        <v>424</v>
      </c>
      <c r="B73" s="497"/>
      <c r="C73" s="493"/>
      <c r="D73" s="497"/>
      <c r="E73" s="493"/>
      <c r="F73" s="497"/>
      <c r="G73" s="493"/>
      <c r="H73" s="504"/>
      <c r="I73" s="415"/>
      <c r="J73" s="504"/>
      <c r="K73" s="415"/>
      <c r="L73" s="504"/>
      <c r="M73" s="415"/>
      <c r="N73" s="504"/>
      <c r="O73" s="415"/>
      <c r="P73" s="504"/>
      <c r="Q73" s="493"/>
      <c r="R73" s="504"/>
      <c r="S73" s="415"/>
      <c r="T73" s="504"/>
      <c r="U73" s="415"/>
      <c r="V73" s="504"/>
      <c r="W73" s="415"/>
      <c r="X73" s="504">
        <v>1</v>
      </c>
      <c r="Y73" s="415">
        <v>65.8</v>
      </c>
      <c r="Z73" s="497"/>
      <c r="AA73" s="493"/>
      <c r="AB73" s="497"/>
      <c r="AC73" s="493"/>
      <c r="AD73" s="497"/>
      <c r="AE73" s="493"/>
      <c r="AF73" s="497"/>
      <c r="AG73" s="493"/>
      <c r="AH73" s="497"/>
      <c r="AI73" s="493"/>
      <c r="AJ73" s="497"/>
      <c r="AK73" s="493"/>
      <c r="AL73" s="514">
        <f>SUM(B73,D73,F73,H73,J73,L73,N73,P73,R73,T73,V73,Z73,X73,AB73,AD73,AF73,AH73,AJ73)</f>
        <v>1</v>
      </c>
      <c r="AM73" s="516">
        <f>SUM(C73,E73,G73,I73,K73,M73,O73,Q73,S73,U73,W73,AA73,Y73,AC73,AE73,AG73,AI73,AK73)</f>
        <v>65.8</v>
      </c>
    </row>
    <row r="74" spans="1:39" s="65" customFormat="1" ht="19.5" customHeight="1">
      <c r="A74" s="76" t="s">
        <v>166</v>
      </c>
      <c r="B74" s="497"/>
      <c r="C74" s="493"/>
      <c r="D74" s="497"/>
      <c r="E74" s="493"/>
      <c r="F74" s="497"/>
      <c r="G74" s="493"/>
      <c r="H74" s="504"/>
      <c r="I74" s="415"/>
      <c r="J74" s="504"/>
      <c r="K74" s="415"/>
      <c r="L74" s="504"/>
      <c r="M74" s="415"/>
      <c r="N74" s="504"/>
      <c r="O74" s="415"/>
      <c r="P74" s="504"/>
      <c r="Q74" s="493"/>
      <c r="R74" s="504"/>
      <c r="S74" s="415"/>
      <c r="T74" s="504"/>
      <c r="U74" s="415"/>
      <c r="V74" s="504"/>
      <c r="W74" s="415"/>
      <c r="X74" s="504">
        <v>1</v>
      </c>
      <c r="Y74" s="415">
        <v>131.9</v>
      </c>
      <c r="Z74" s="497"/>
      <c r="AA74" s="493"/>
      <c r="AB74" s="497"/>
      <c r="AC74" s="493"/>
      <c r="AD74" s="497"/>
      <c r="AE74" s="493"/>
      <c r="AF74" s="497"/>
      <c r="AG74" s="493"/>
      <c r="AH74" s="497"/>
      <c r="AI74" s="493"/>
      <c r="AJ74" s="497"/>
      <c r="AK74" s="493"/>
      <c r="AL74" s="514">
        <f aca="true" t="shared" si="8" ref="AL74:AM76">SUM(B74,D74,F74,H74,J74,L74,N74,P74,R74,T74,V74,Z74,X74,AB74,AD74,AF74,AH74,AJ74)</f>
        <v>1</v>
      </c>
      <c r="AM74" s="516">
        <f t="shared" si="8"/>
        <v>131.9</v>
      </c>
    </row>
    <row r="75" spans="1:39" s="65" customFormat="1" ht="19.5" customHeight="1">
      <c r="A75" s="10" t="s">
        <v>23</v>
      </c>
      <c r="B75" s="497"/>
      <c r="C75" s="493"/>
      <c r="D75" s="497"/>
      <c r="E75" s="493"/>
      <c r="F75" s="497"/>
      <c r="G75" s="493"/>
      <c r="H75" s="504"/>
      <c r="I75" s="415"/>
      <c r="J75" s="504"/>
      <c r="K75" s="415"/>
      <c r="L75" s="504"/>
      <c r="M75" s="415"/>
      <c r="N75" s="504"/>
      <c r="O75" s="415"/>
      <c r="P75" s="504"/>
      <c r="Q75" s="493"/>
      <c r="R75" s="504"/>
      <c r="S75" s="415"/>
      <c r="T75" s="504"/>
      <c r="U75" s="415"/>
      <c r="V75" s="504">
        <v>1</v>
      </c>
      <c r="W75" s="415">
        <v>118.7</v>
      </c>
      <c r="X75" s="504">
        <v>1</v>
      </c>
      <c r="Y75" s="415">
        <v>122.6</v>
      </c>
      <c r="Z75" s="497"/>
      <c r="AA75" s="493"/>
      <c r="AB75" s="497"/>
      <c r="AC75" s="493"/>
      <c r="AD75" s="497">
        <v>1</v>
      </c>
      <c r="AE75" s="493">
        <v>249.8</v>
      </c>
      <c r="AF75" s="497"/>
      <c r="AG75" s="493"/>
      <c r="AH75" s="497"/>
      <c r="AI75" s="493"/>
      <c r="AJ75" s="497"/>
      <c r="AK75" s="493"/>
      <c r="AL75" s="514">
        <f t="shared" si="8"/>
        <v>3</v>
      </c>
      <c r="AM75" s="516">
        <f t="shared" si="8"/>
        <v>491.1</v>
      </c>
    </row>
    <row r="76" spans="1:39" s="281" customFormat="1" ht="19.5" customHeight="1">
      <c r="A76" s="16" t="s">
        <v>24</v>
      </c>
      <c r="B76" s="498"/>
      <c r="C76" s="494"/>
      <c r="D76" s="498"/>
      <c r="E76" s="494"/>
      <c r="F76" s="498"/>
      <c r="G76" s="494"/>
      <c r="H76" s="505"/>
      <c r="I76" s="506"/>
      <c r="J76" s="505"/>
      <c r="K76" s="506"/>
      <c r="L76" s="505"/>
      <c r="M76" s="506"/>
      <c r="N76" s="505"/>
      <c r="O76" s="506"/>
      <c r="P76" s="505"/>
      <c r="Q76" s="494"/>
      <c r="R76" s="505"/>
      <c r="S76" s="506"/>
      <c r="T76" s="505"/>
      <c r="U76" s="506"/>
      <c r="V76" s="505">
        <v>1</v>
      </c>
      <c r="W76" s="506">
        <v>122</v>
      </c>
      <c r="X76" s="498">
        <v>2</v>
      </c>
      <c r="Y76" s="494">
        <v>257</v>
      </c>
      <c r="Z76" s="498">
        <v>1</v>
      </c>
      <c r="AA76" s="494">
        <v>165.7</v>
      </c>
      <c r="AB76" s="498"/>
      <c r="AC76" s="494"/>
      <c r="AD76" s="505"/>
      <c r="AE76" s="506"/>
      <c r="AF76" s="505"/>
      <c r="AG76" s="506"/>
      <c r="AH76" s="505"/>
      <c r="AI76" s="506"/>
      <c r="AJ76" s="505"/>
      <c r="AK76" s="506"/>
      <c r="AL76" s="515">
        <f t="shared" si="8"/>
        <v>4</v>
      </c>
      <c r="AM76" s="517">
        <f t="shared" si="8"/>
        <v>544.7</v>
      </c>
    </row>
    <row r="77" spans="1:39" s="65" customFormat="1" ht="19.5" customHeight="1">
      <c r="A77" s="527" t="s">
        <v>498</v>
      </c>
      <c r="B77" s="555"/>
      <c r="C77" s="556"/>
      <c r="D77" s="555"/>
      <c r="E77" s="556"/>
      <c r="F77" s="555"/>
      <c r="G77" s="556"/>
      <c r="H77" s="557"/>
      <c r="I77" s="558"/>
      <c r="J77" s="557"/>
      <c r="K77" s="558"/>
      <c r="L77" s="557"/>
      <c r="M77" s="558"/>
      <c r="N77" s="557"/>
      <c r="O77" s="558"/>
      <c r="P77" s="557"/>
      <c r="Q77" s="556"/>
      <c r="R77" s="557"/>
      <c r="S77" s="558"/>
      <c r="T77" s="557"/>
      <c r="U77" s="558"/>
      <c r="V77" s="557"/>
      <c r="W77" s="558"/>
      <c r="X77" s="557"/>
      <c r="Y77" s="558"/>
      <c r="Z77" s="555"/>
      <c r="AA77" s="556"/>
      <c r="AB77" s="555"/>
      <c r="AC77" s="556"/>
      <c r="AD77" s="555"/>
      <c r="AE77" s="556"/>
      <c r="AF77" s="555"/>
      <c r="AG77" s="556"/>
      <c r="AH77" s="555"/>
      <c r="AI77" s="556"/>
      <c r="AJ77" s="555"/>
      <c r="AK77" s="556"/>
      <c r="AL77" s="559"/>
      <c r="AM77" s="560"/>
    </row>
    <row r="78" spans="1:39" s="65" customFormat="1" ht="19.5" customHeight="1">
      <c r="A78" s="16" t="s">
        <v>421</v>
      </c>
      <c r="B78" s="498"/>
      <c r="C78" s="494"/>
      <c r="D78" s="498"/>
      <c r="E78" s="494"/>
      <c r="F78" s="498"/>
      <c r="G78" s="494"/>
      <c r="H78" s="505"/>
      <c r="I78" s="506"/>
      <c r="J78" s="505"/>
      <c r="K78" s="506"/>
      <c r="L78" s="505"/>
      <c r="M78" s="506"/>
      <c r="N78" s="505"/>
      <c r="O78" s="506"/>
      <c r="P78" s="505"/>
      <c r="Q78" s="494"/>
      <c r="R78" s="505"/>
      <c r="S78" s="506"/>
      <c r="T78" s="505"/>
      <c r="U78" s="506"/>
      <c r="V78" s="505"/>
      <c r="W78" s="506"/>
      <c r="X78" s="498"/>
      <c r="Y78" s="494"/>
      <c r="Z78" s="498"/>
      <c r="AA78" s="494"/>
      <c r="AB78" s="498"/>
      <c r="AC78" s="494"/>
      <c r="AD78" s="505"/>
      <c r="AE78" s="506"/>
      <c r="AF78" s="505"/>
      <c r="AG78" s="506"/>
      <c r="AH78" s="505">
        <v>1</v>
      </c>
      <c r="AI78" s="506">
        <v>346.5</v>
      </c>
      <c r="AJ78" s="505"/>
      <c r="AK78" s="506"/>
      <c r="AL78" s="515">
        <f>SUM(B78,D78,F78,H78,J78,L78,N78,P78,R78,T78,V78,Z78,X78,AB78,AD78,AF78,AH78,AJ78)</f>
        <v>1</v>
      </c>
      <c r="AM78" s="517">
        <f>SUM(C78,E78,G78,I78,K78,M78,O78,Q78,S78,U78,W78,AA78,Y78,AC78,AE78,AG78,AI78,AK78)</f>
        <v>346.5</v>
      </c>
    </row>
    <row r="79" spans="1:39" s="65" customFormat="1" ht="19.5" customHeight="1">
      <c r="A79" s="527" t="s">
        <v>499</v>
      </c>
      <c r="B79" s="555"/>
      <c r="C79" s="556"/>
      <c r="D79" s="555"/>
      <c r="E79" s="556"/>
      <c r="F79" s="555"/>
      <c r="G79" s="556"/>
      <c r="H79" s="557"/>
      <c r="I79" s="558"/>
      <c r="J79" s="557"/>
      <c r="K79" s="558"/>
      <c r="L79" s="557"/>
      <c r="M79" s="558"/>
      <c r="N79" s="557"/>
      <c r="O79" s="558"/>
      <c r="P79" s="557"/>
      <c r="Q79" s="556"/>
      <c r="R79" s="557"/>
      <c r="S79" s="558"/>
      <c r="T79" s="557"/>
      <c r="U79" s="558"/>
      <c r="V79" s="557"/>
      <c r="W79" s="558"/>
      <c r="X79" s="557"/>
      <c r="Y79" s="558"/>
      <c r="Z79" s="555"/>
      <c r="AA79" s="556"/>
      <c r="AB79" s="555"/>
      <c r="AC79" s="556"/>
      <c r="AD79" s="555"/>
      <c r="AE79" s="556"/>
      <c r="AF79" s="555"/>
      <c r="AG79" s="556"/>
      <c r="AH79" s="555"/>
      <c r="AI79" s="556"/>
      <c r="AJ79" s="555"/>
      <c r="AK79" s="556"/>
      <c r="AL79" s="559"/>
      <c r="AM79" s="560"/>
    </row>
    <row r="80" spans="1:39" s="65" customFormat="1" ht="19.5" customHeight="1">
      <c r="A80" s="10" t="s">
        <v>136</v>
      </c>
      <c r="B80" s="497"/>
      <c r="C80" s="493"/>
      <c r="D80" s="497"/>
      <c r="E80" s="493"/>
      <c r="F80" s="497"/>
      <c r="G80" s="493"/>
      <c r="H80" s="504"/>
      <c r="I80" s="415"/>
      <c r="J80" s="504"/>
      <c r="K80" s="415"/>
      <c r="L80" s="504"/>
      <c r="M80" s="415"/>
      <c r="N80" s="504"/>
      <c r="O80" s="415"/>
      <c r="P80" s="504"/>
      <c r="Q80" s="493"/>
      <c r="R80" s="504"/>
      <c r="S80" s="415"/>
      <c r="T80" s="504"/>
      <c r="U80" s="415"/>
      <c r="V80" s="504">
        <v>1</v>
      </c>
      <c r="W80" s="415">
        <v>123</v>
      </c>
      <c r="X80" s="497">
        <v>3</v>
      </c>
      <c r="Y80" s="493">
        <v>402.5</v>
      </c>
      <c r="Z80" s="497"/>
      <c r="AA80" s="493"/>
      <c r="AB80" s="497"/>
      <c r="AC80" s="493"/>
      <c r="AD80" s="504"/>
      <c r="AE80" s="415"/>
      <c r="AF80" s="504">
        <v>1</v>
      </c>
      <c r="AG80" s="415">
        <v>177.8</v>
      </c>
      <c r="AH80" s="504"/>
      <c r="AI80" s="415"/>
      <c r="AJ80" s="504"/>
      <c r="AK80" s="415"/>
      <c r="AL80" s="514">
        <f aca="true" t="shared" si="9" ref="AL80:AL97">SUM(B80,D80,F80,H80,J80,L80,N80,P80,R80,T80,V80,Z80,X80,AB80,AD80,AF80,AH80,AJ80)</f>
        <v>5</v>
      </c>
      <c r="AM80" s="516">
        <f aca="true" t="shared" si="10" ref="AM80:AM97">SUM(C80,E80,G80,I80,K80,M80,O80,Q80,S80,U80,W80,AA80,Y80,AC80,AE80,AG80,AI80,AK80)</f>
        <v>703.3</v>
      </c>
    </row>
    <row r="81" spans="1:39" s="65" customFormat="1" ht="19.5" customHeight="1">
      <c r="A81" s="10" t="s">
        <v>226</v>
      </c>
      <c r="B81" s="497"/>
      <c r="C81" s="493"/>
      <c r="D81" s="497"/>
      <c r="E81" s="493"/>
      <c r="F81" s="497"/>
      <c r="G81" s="493"/>
      <c r="H81" s="504"/>
      <c r="I81" s="415"/>
      <c r="J81" s="504"/>
      <c r="K81" s="415"/>
      <c r="L81" s="504"/>
      <c r="M81" s="415"/>
      <c r="N81" s="504"/>
      <c r="O81" s="415"/>
      <c r="P81" s="504"/>
      <c r="Q81" s="493"/>
      <c r="R81" s="504"/>
      <c r="S81" s="415"/>
      <c r="T81" s="504"/>
      <c r="U81" s="415"/>
      <c r="V81" s="504"/>
      <c r="W81" s="415"/>
      <c r="X81" s="497"/>
      <c r="Y81" s="493"/>
      <c r="Z81" s="497"/>
      <c r="AA81" s="493"/>
      <c r="AB81" s="497"/>
      <c r="AC81" s="493"/>
      <c r="AD81" s="504"/>
      <c r="AE81" s="415"/>
      <c r="AF81" s="504"/>
      <c r="AG81" s="415"/>
      <c r="AH81" s="504"/>
      <c r="AI81" s="415"/>
      <c r="AJ81" s="504"/>
      <c r="AK81" s="415"/>
      <c r="AL81" s="514">
        <f t="shared" si="9"/>
        <v>0</v>
      </c>
      <c r="AM81" s="516">
        <f t="shared" si="10"/>
        <v>0</v>
      </c>
    </row>
    <row r="82" spans="1:39" s="65" customFormat="1" ht="19.5" customHeight="1">
      <c r="A82" s="10" t="s">
        <v>164</v>
      </c>
      <c r="B82" s="497">
        <v>5</v>
      </c>
      <c r="C82" s="493">
        <v>655.9</v>
      </c>
      <c r="D82" s="497"/>
      <c r="E82" s="493"/>
      <c r="F82" s="497"/>
      <c r="G82" s="493"/>
      <c r="H82" s="504"/>
      <c r="I82" s="415"/>
      <c r="J82" s="504"/>
      <c r="K82" s="415">
        <v>422.5</v>
      </c>
      <c r="L82" s="504"/>
      <c r="M82" s="415"/>
      <c r="N82" s="504"/>
      <c r="O82" s="415"/>
      <c r="P82" s="504"/>
      <c r="Q82" s="493"/>
      <c r="R82" s="504"/>
      <c r="S82" s="415"/>
      <c r="T82" s="504"/>
      <c r="U82" s="415"/>
      <c r="V82" s="504"/>
      <c r="W82" s="415"/>
      <c r="X82" s="497"/>
      <c r="Y82" s="493"/>
      <c r="Z82" s="497"/>
      <c r="AA82" s="493"/>
      <c r="AB82" s="497"/>
      <c r="AC82" s="493"/>
      <c r="AD82" s="504"/>
      <c r="AE82" s="415"/>
      <c r="AF82" s="504">
        <v>2</v>
      </c>
      <c r="AG82" s="415">
        <v>459.3</v>
      </c>
      <c r="AH82" s="504"/>
      <c r="AI82" s="415"/>
      <c r="AJ82" s="504"/>
      <c r="AK82" s="415"/>
      <c r="AL82" s="514">
        <f t="shared" si="9"/>
        <v>7</v>
      </c>
      <c r="AM82" s="516">
        <f t="shared" si="10"/>
        <v>1537.7</v>
      </c>
    </row>
    <row r="83" spans="1:39" s="65" customFormat="1" ht="19.5" customHeight="1">
      <c r="A83" s="10" t="s">
        <v>42</v>
      </c>
      <c r="B83" s="497">
        <v>1</v>
      </c>
      <c r="C83" s="493">
        <v>280</v>
      </c>
      <c r="D83" s="497"/>
      <c r="E83" s="493"/>
      <c r="F83" s="497"/>
      <c r="G83" s="493"/>
      <c r="H83" s="504"/>
      <c r="I83" s="415"/>
      <c r="J83" s="504"/>
      <c r="K83" s="415"/>
      <c r="L83" s="504"/>
      <c r="M83" s="415"/>
      <c r="N83" s="504"/>
      <c r="O83" s="415"/>
      <c r="P83" s="504"/>
      <c r="Q83" s="493"/>
      <c r="R83" s="504"/>
      <c r="S83" s="415"/>
      <c r="T83" s="504"/>
      <c r="U83" s="415"/>
      <c r="V83" s="504">
        <v>1</v>
      </c>
      <c r="W83" s="415">
        <v>244.6</v>
      </c>
      <c r="X83" s="497"/>
      <c r="Y83" s="493"/>
      <c r="Z83" s="497"/>
      <c r="AA83" s="493"/>
      <c r="AB83" s="497"/>
      <c r="AC83" s="493"/>
      <c r="AD83" s="504"/>
      <c r="AE83" s="415"/>
      <c r="AF83" s="504">
        <v>2</v>
      </c>
      <c r="AG83" s="415">
        <v>461.8</v>
      </c>
      <c r="AH83" s="504"/>
      <c r="AI83" s="415"/>
      <c r="AJ83" s="504"/>
      <c r="AK83" s="415"/>
      <c r="AL83" s="514">
        <f t="shared" si="9"/>
        <v>4</v>
      </c>
      <c r="AM83" s="516">
        <f t="shared" si="10"/>
        <v>986.4000000000001</v>
      </c>
    </row>
    <row r="84" spans="1:39" s="65" customFormat="1" ht="19.5" customHeight="1">
      <c r="A84" s="10" t="s">
        <v>43</v>
      </c>
      <c r="B84" s="497"/>
      <c r="C84" s="493"/>
      <c r="D84" s="497"/>
      <c r="E84" s="493"/>
      <c r="F84" s="497"/>
      <c r="G84" s="493"/>
      <c r="H84" s="504"/>
      <c r="I84" s="415"/>
      <c r="J84" s="504"/>
      <c r="K84" s="415"/>
      <c r="L84" s="504"/>
      <c r="M84" s="415"/>
      <c r="N84" s="504"/>
      <c r="O84" s="415"/>
      <c r="P84" s="504"/>
      <c r="Q84" s="493"/>
      <c r="R84" s="504"/>
      <c r="S84" s="415"/>
      <c r="T84" s="504"/>
      <c r="U84" s="415"/>
      <c r="V84" s="504">
        <v>1</v>
      </c>
      <c r="W84" s="415">
        <v>222.3</v>
      </c>
      <c r="X84" s="497"/>
      <c r="Y84" s="493"/>
      <c r="Z84" s="497"/>
      <c r="AA84" s="493"/>
      <c r="AB84" s="497"/>
      <c r="AC84" s="493"/>
      <c r="AD84" s="504"/>
      <c r="AE84" s="415"/>
      <c r="AF84" s="504"/>
      <c r="AG84" s="415"/>
      <c r="AH84" s="504"/>
      <c r="AI84" s="415"/>
      <c r="AJ84" s="504"/>
      <c r="AK84" s="415"/>
      <c r="AL84" s="514">
        <f t="shared" si="9"/>
        <v>1</v>
      </c>
      <c r="AM84" s="516">
        <f t="shared" si="10"/>
        <v>222.3</v>
      </c>
    </row>
    <row r="85" spans="1:39" s="65" customFormat="1" ht="19.5" customHeight="1">
      <c r="A85" s="10" t="s">
        <v>147</v>
      </c>
      <c r="B85" s="497">
        <v>1</v>
      </c>
      <c r="C85" s="493">
        <v>339.7</v>
      </c>
      <c r="D85" s="497"/>
      <c r="E85" s="493"/>
      <c r="F85" s="497"/>
      <c r="G85" s="493"/>
      <c r="H85" s="504"/>
      <c r="I85" s="415"/>
      <c r="J85" s="504"/>
      <c r="K85" s="415"/>
      <c r="L85" s="504"/>
      <c r="M85" s="415"/>
      <c r="N85" s="504"/>
      <c r="O85" s="415"/>
      <c r="P85" s="504"/>
      <c r="Q85" s="493"/>
      <c r="R85" s="504"/>
      <c r="S85" s="415"/>
      <c r="T85" s="504"/>
      <c r="U85" s="415"/>
      <c r="V85" s="504">
        <v>1</v>
      </c>
      <c r="W85" s="415">
        <v>143.9</v>
      </c>
      <c r="X85" s="497"/>
      <c r="Y85" s="493"/>
      <c r="Z85" s="497"/>
      <c r="AA85" s="493"/>
      <c r="AB85" s="497"/>
      <c r="AC85" s="493"/>
      <c r="AD85" s="504"/>
      <c r="AE85" s="415"/>
      <c r="AF85" s="504">
        <v>1</v>
      </c>
      <c r="AG85" s="415">
        <v>265.4</v>
      </c>
      <c r="AH85" s="504"/>
      <c r="AI85" s="415"/>
      <c r="AJ85" s="504"/>
      <c r="AK85" s="415"/>
      <c r="AL85" s="514">
        <f t="shared" si="9"/>
        <v>3</v>
      </c>
      <c r="AM85" s="516">
        <f t="shared" si="10"/>
        <v>749</v>
      </c>
    </row>
    <row r="86" spans="1:39" s="65" customFormat="1" ht="19.5" customHeight="1">
      <c r="A86" s="10" t="s">
        <v>44</v>
      </c>
      <c r="B86" s="497"/>
      <c r="C86" s="493"/>
      <c r="D86" s="497"/>
      <c r="E86" s="493"/>
      <c r="F86" s="497"/>
      <c r="G86" s="493"/>
      <c r="H86" s="504"/>
      <c r="I86" s="415"/>
      <c r="J86" s="504"/>
      <c r="K86" s="415"/>
      <c r="L86" s="504"/>
      <c r="M86" s="415"/>
      <c r="N86" s="504"/>
      <c r="O86" s="415"/>
      <c r="P86" s="504"/>
      <c r="Q86" s="493"/>
      <c r="R86" s="504"/>
      <c r="S86" s="415"/>
      <c r="T86" s="504"/>
      <c r="U86" s="415"/>
      <c r="V86" s="504">
        <v>2</v>
      </c>
      <c r="W86" s="415">
        <v>496.7</v>
      </c>
      <c r="X86" s="497"/>
      <c r="Y86" s="493"/>
      <c r="Z86" s="497"/>
      <c r="AA86" s="493"/>
      <c r="AB86" s="497"/>
      <c r="AC86" s="493"/>
      <c r="AD86" s="504">
        <v>1</v>
      </c>
      <c r="AE86" s="415">
        <v>335</v>
      </c>
      <c r="AF86" s="504"/>
      <c r="AG86" s="415"/>
      <c r="AH86" s="504"/>
      <c r="AI86" s="415"/>
      <c r="AJ86" s="504"/>
      <c r="AK86" s="415"/>
      <c r="AL86" s="514">
        <f t="shared" si="9"/>
        <v>3</v>
      </c>
      <c r="AM86" s="516">
        <f t="shared" si="10"/>
        <v>831.7</v>
      </c>
    </row>
    <row r="87" spans="1:39" s="65" customFormat="1" ht="19.5" customHeight="1">
      <c r="A87" s="10" t="s">
        <v>165</v>
      </c>
      <c r="B87" s="497">
        <v>1</v>
      </c>
      <c r="C87" s="493">
        <v>218.8</v>
      </c>
      <c r="D87" s="497"/>
      <c r="E87" s="493"/>
      <c r="F87" s="497"/>
      <c r="G87" s="493"/>
      <c r="H87" s="504"/>
      <c r="I87" s="415"/>
      <c r="J87" s="504"/>
      <c r="K87" s="415"/>
      <c r="L87" s="504"/>
      <c r="M87" s="415"/>
      <c r="N87" s="504"/>
      <c r="O87" s="415"/>
      <c r="P87" s="504"/>
      <c r="Q87" s="493"/>
      <c r="R87" s="504"/>
      <c r="S87" s="415"/>
      <c r="T87" s="504"/>
      <c r="U87" s="415"/>
      <c r="V87" s="504">
        <v>2</v>
      </c>
      <c r="W87" s="415">
        <v>319.8</v>
      </c>
      <c r="X87" s="497"/>
      <c r="Y87" s="493"/>
      <c r="Z87" s="497"/>
      <c r="AA87" s="493"/>
      <c r="AB87" s="497"/>
      <c r="AC87" s="493"/>
      <c r="AD87" s="504"/>
      <c r="AE87" s="415"/>
      <c r="AF87" s="504">
        <v>1</v>
      </c>
      <c r="AG87" s="415">
        <v>242.3</v>
      </c>
      <c r="AH87" s="504"/>
      <c r="AI87" s="415"/>
      <c r="AJ87" s="504"/>
      <c r="AK87" s="415"/>
      <c r="AL87" s="514">
        <f t="shared" si="9"/>
        <v>4</v>
      </c>
      <c r="AM87" s="516">
        <f t="shared" si="10"/>
        <v>780.9000000000001</v>
      </c>
    </row>
    <row r="88" spans="1:39" s="65" customFormat="1" ht="19.5" customHeight="1">
      <c r="A88" s="10" t="s">
        <v>230</v>
      </c>
      <c r="B88" s="497"/>
      <c r="C88" s="493"/>
      <c r="D88" s="497"/>
      <c r="E88" s="493"/>
      <c r="F88" s="497"/>
      <c r="G88" s="493"/>
      <c r="H88" s="504"/>
      <c r="I88" s="415"/>
      <c r="J88" s="504"/>
      <c r="K88" s="415"/>
      <c r="L88" s="504"/>
      <c r="M88" s="415"/>
      <c r="N88" s="504"/>
      <c r="O88" s="415"/>
      <c r="P88" s="504"/>
      <c r="Q88" s="493"/>
      <c r="R88" s="504"/>
      <c r="S88" s="415"/>
      <c r="T88" s="504"/>
      <c r="U88" s="415"/>
      <c r="V88" s="504">
        <v>2</v>
      </c>
      <c r="W88" s="415">
        <v>459</v>
      </c>
      <c r="X88" s="497"/>
      <c r="Y88" s="493"/>
      <c r="Z88" s="497"/>
      <c r="AA88" s="493"/>
      <c r="AB88" s="497"/>
      <c r="AC88" s="493"/>
      <c r="AD88" s="504"/>
      <c r="AE88" s="415"/>
      <c r="AF88" s="504"/>
      <c r="AG88" s="415"/>
      <c r="AH88" s="504"/>
      <c r="AI88" s="415"/>
      <c r="AJ88" s="504"/>
      <c r="AK88" s="415"/>
      <c r="AL88" s="514">
        <f t="shared" si="9"/>
        <v>2</v>
      </c>
      <c r="AM88" s="516">
        <f t="shared" si="10"/>
        <v>459</v>
      </c>
    </row>
    <row r="89" spans="1:39" s="65" customFormat="1" ht="19.5" customHeight="1">
      <c r="A89" s="10" t="s">
        <v>45</v>
      </c>
      <c r="B89" s="497"/>
      <c r="C89" s="493"/>
      <c r="D89" s="497"/>
      <c r="E89" s="493"/>
      <c r="F89" s="497"/>
      <c r="G89" s="493"/>
      <c r="H89" s="504"/>
      <c r="I89" s="415"/>
      <c r="J89" s="504"/>
      <c r="K89" s="415"/>
      <c r="L89" s="504"/>
      <c r="M89" s="415"/>
      <c r="N89" s="504"/>
      <c r="O89" s="415"/>
      <c r="P89" s="504"/>
      <c r="Q89" s="493"/>
      <c r="R89" s="504"/>
      <c r="S89" s="415"/>
      <c r="T89" s="504"/>
      <c r="U89" s="415"/>
      <c r="V89" s="504">
        <v>1</v>
      </c>
      <c r="W89" s="415">
        <v>189.9</v>
      </c>
      <c r="X89" s="497"/>
      <c r="Y89" s="493"/>
      <c r="Z89" s="497"/>
      <c r="AA89" s="493"/>
      <c r="AB89" s="497"/>
      <c r="AC89" s="493"/>
      <c r="AD89" s="504"/>
      <c r="AE89" s="415"/>
      <c r="AF89" s="504">
        <v>1</v>
      </c>
      <c r="AG89" s="415">
        <v>228.1</v>
      </c>
      <c r="AH89" s="504"/>
      <c r="AI89" s="415"/>
      <c r="AJ89" s="504"/>
      <c r="AK89" s="415"/>
      <c r="AL89" s="514">
        <f t="shared" si="9"/>
        <v>2</v>
      </c>
      <c r="AM89" s="516">
        <f t="shared" si="10"/>
        <v>418</v>
      </c>
    </row>
    <row r="90" spans="1:39" s="65" customFormat="1" ht="19.5" customHeight="1">
      <c r="A90" s="10" t="s">
        <v>148</v>
      </c>
      <c r="B90" s="497">
        <v>1</v>
      </c>
      <c r="C90" s="493">
        <v>240</v>
      </c>
      <c r="D90" s="497"/>
      <c r="E90" s="493"/>
      <c r="F90" s="497"/>
      <c r="G90" s="493"/>
      <c r="H90" s="504"/>
      <c r="I90" s="415"/>
      <c r="J90" s="504"/>
      <c r="K90" s="415"/>
      <c r="L90" s="504"/>
      <c r="M90" s="415"/>
      <c r="N90" s="504"/>
      <c r="O90" s="415"/>
      <c r="P90" s="504"/>
      <c r="Q90" s="493"/>
      <c r="R90" s="504"/>
      <c r="S90" s="415"/>
      <c r="T90" s="504"/>
      <c r="U90" s="415"/>
      <c r="V90" s="504"/>
      <c r="W90" s="415"/>
      <c r="X90" s="497"/>
      <c r="Y90" s="493"/>
      <c r="Z90" s="497"/>
      <c r="AA90" s="493"/>
      <c r="AB90" s="497"/>
      <c r="AC90" s="493"/>
      <c r="AD90" s="504"/>
      <c r="AE90" s="415"/>
      <c r="AF90" s="504"/>
      <c r="AG90" s="415"/>
      <c r="AH90" s="504"/>
      <c r="AI90" s="415"/>
      <c r="AJ90" s="504"/>
      <c r="AK90" s="415"/>
      <c r="AL90" s="514">
        <f t="shared" si="9"/>
        <v>1</v>
      </c>
      <c r="AM90" s="516">
        <f t="shared" si="10"/>
        <v>240</v>
      </c>
    </row>
    <row r="91" spans="1:39" s="65" customFormat="1" ht="19.5" customHeight="1">
      <c r="A91" s="10" t="s">
        <v>167</v>
      </c>
      <c r="B91" s="497">
        <v>1</v>
      </c>
      <c r="C91" s="493">
        <v>247</v>
      </c>
      <c r="D91" s="497"/>
      <c r="E91" s="493"/>
      <c r="F91" s="497"/>
      <c r="G91" s="493"/>
      <c r="H91" s="504"/>
      <c r="I91" s="415"/>
      <c r="J91" s="504"/>
      <c r="K91" s="415"/>
      <c r="L91" s="504"/>
      <c r="M91" s="415"/>
      <c r="N91" s="504"/>
      <c r="O91" s="415"/>
      <c r="P91" s="504"/>
      <c r="Q91" s="493"/>
      <c r="R91" s="504"/>
      <c r="S91" s="415"/>
      <c r="T91" s="504"/>
      <c r="U91" s="415"/>
      <c r="V91" s="504"/>
      <c r="W91" s="415"/>
      <c r="X91" s="497"/>
      <c r="Y91" s="493"/>
      <c r="Z91" s="497"/>
      <c r="AA91" s="493"/>
      <c r="AB91" s="497"/>
      <c r="AC91" s="493"/>
      <c r="AD91" s="504"/>
      <c r="AE91" s="415"/>
      <c r="AF91" s="504"/>
      <c r="AG91" s="415"/>
      <c r="AH91" s="504"/>
      <c r="AI91" s="415"/>
      <c r="AJ91" s="504"/>
      <c r="AK91" s="415"/>
      <c r="AL91" s="514">
        <f t="shared" si="9"/>
        <v>1</v>
      </c>
      <c r="AM91" s="516">
        <f t="shared" si="10"/>
        <v>247</v>
      </c>
    </row>
    <row r="92" spans="1:39" s="65" customFormat="1" ht="19.5" customHeight="1">
      <c r="A92" s="10" t="s">
        <v>46</v>
      </c>
      <c r="B92" s="497"/>
      <c r="C92" s="493"/>
      <c r="D92" s="497"/>
      <c r="E92" s="493"/>
      <c r="F92" s="497"/>
      <c r="G92" s="493"/>
      <c r="H92" s="504"/>
      <c r="I92" s="415"/>
      <c r="J92" s="504"/>
      <c r="K92" s="415"/>
      <c r="L92" s="504"/>
      <c r="M92" s="415"/>
      <c r="N92" s="504"/>
      <c r="O92" s="415"/>
      <c r="P92" s="504"/>
      <c r="Q92" s="493"/>
      <c r="R92" s="504"/>
      <c r="S92" s="415"/>
      <c r="T92" s="504"/>
      <c r="U92" s="415"/>
      <c r="V92" s="504">
        <v>3</v>
      </c>
      <c r="W92" s="415">
        <v>687.3</v>
      </c>
      <c r="X92" s="497"/>
      <c r="Y92" s="493"/>
      <c r="Z92" s="497"/>
      <c r="AA92" s="493"/>
      <c r="AB92" s="497"/>
      <c r="AC92" s="493"/>
      <c r="AD92" s="504">
        <v>1</v>
      </c>
      <c r="AE92" s="415">
        <v>359.6</v>
      </c>
      <c r="AF92" s="504">
        <v>2</v>
      </c>
      <c r="AG92" s="415">
        <v>493</v>
      </c>
      <c r="AH92" s="504">
        <v>2</v>
      </c>
      <c r="AI92" s="415">
        <v>236.1</v>
      </c>
      <c r="AJ92" s="504"/>
      <c r="AK92" s="415"/>
      <c r="AL92" s="514">
        <f t="shared" si="9"/>
        <v>8</v>
      </c>
      <c r="AM92" s="516">
        <f t="shared" si="10"/>
        <v>1776</v>
      </c>
    </row>
    <row r="93" spans="1:39" s="65" customFormat="1" ht="19.5" customHeight="1">
      <c r="A93" s="10" t="s">
        <v>472</v>
      </c>
      <c r="B93" s="497">
        <v>2</v>
      </c>
      <c r="C93" s="493">
        <v>549.2</v>
      </c>
      <c r="D93" s="497"/>
      <c r="E93" s="493"/>
      <c r="F93" s="497"/>
      <c r="G93" s="493"/>
      <c r="H93" s="504"/>
      <c r="I93" s="415"/>
      <c r="J93" s="504"/>
      <c r="K93" s="415"/>
      <c r="L93" s="504"/>
      <c r="M93" s="415"/>
      <c r="N93" s="504"/>
      <c r="O93" s="415"/>
      <c r="P93" s="504"/>
      <c r="Q93" s="493"/>
      <c r="R93" s="504"/>
      <c r="S93" s="415"/>
      <c r="T93" s="504"/>
      <c r="U93" s="415"/>
      <c r="V93" s="504"/>
      <c r="W93" s="415"/>
      <c r="X93" s="497"/>
      <c r="Y93" s="493"/>
      <c r="Z93" s="497">
        <v>1</v>
      </c>
      <c r="AA93" s="493">
        <v>274.4</v>
      </c>
      <c r="AB93" s="497"/>
      <c r="AC93" s="493"/>
      <c r="AD93" s="504"/>
      <c r="AE93" s="415"/>
      <c r="AF93" s="504"/>
      <c r="AG93" s="415"/>
      <c r="AH93" s="504"/>
      <c r="AI93" s="415"/>
      <c r="AJ93" s="504"/>
      <c r="AK93" s="415"/>
      <c r="AL93" s="514">
        <f>SUM(B93,D93,F93,H93,J93,L93,N93,P93,R93,T93,V93,Z93,X93,AB93,AD93,AF93,AH93,AJ93)</f>
        <v>3</v>
      </c>
      <c r="AM93" s="516">
        <f>SUM(C93,E93,G93,I93,K93,M93,O93,Q93,S93,U93,W93,AA93,Y93,AC93,AE93,AG93,AI93,AK93)</f>
        <v>823.6</v>
      </c>
    </row>
    <row r="94" spans="1:39" s="65" customFormat="1" ht="19.5" customHeight="1">
      <c r="A94" s="10" t="s">
        <v>265</v>
      </c>
      <c r="B94" s="497">
        <v>1</v>
      </c>
      <c r="C94" s="493">
        <v>259.8</v>
      </c>
      <c r="D94" s="497"/>
      <c r="E94" s="493"/>
      <c r="F94" s="497"/>
      <c r="G94" s="493"/>
      <c r="H94" s="504"/>
      <c r="I94" s="415"/>
      <c r="J94" s="504"/>
      <c r="K94" s="415"/>
      <c r="L94" s="504"/>
      <c r="M94" s="415"/>
      <c r="N94" s="504"/>
      <c r="O94" s="415"/>
      <c r="P94" s="504"/>
      <c r="Q94" s="493"/>
      <c r="R94" s="504"/>
      <c r="S94" s="415"/>
      <c r="T94" s="504"/>
      <c r="U94" s="415"/>
      <c r="V94" s="504"/>
      <c r="W94" s="415"/>
      <c r="X94" s="497"/>
      <c r="Y94" s="493"/>
      <c r="Z94" s="497"/>
      <c r="AA94" s="493"/>
      <c r="AB94" s="497"/>
      <c r="AC94" s="493"/>
      <c r="AD94" s="504"/>
      <c r="AE94" s="415"/>
      <c r="AF94" s="504"/>
      <c r="AG94" s="415"/>
      <c r="AH94" s="504"/>
      <c r="AI94" s="415"/>
      <c r="AJ94" s="504"/>
      <c r="AK94" s="415"/>
      <c r="AL94" s="514">
        <f>SUM(B94,D94,F94,H94,J94,L94,N94,P94,R94,T94,V94,Z94,X94,AB94,AD94,AF94,AH94,AJ94)</f>
        <v>1</v>
      </c>
      <c r="AM94" s="516">
        <f>SUM(C94,E94,G94,I94,K94,M94,O94,Q94,S94,U94,W94,AA94,Y94,AC94,AE94,AG94,AI94,AK94)</f>
        <v>259.8</v>
      </c>
    </row>
    <row r="95" spans="1:39" s="65" customFormat="1" ht="19.5" customHeight="1">
      <c r="A95" s="10" t="s">
        <v>47</v>
      </c>
      <c r="B95" s="497"/>
      <c r="C95" s="493"/>
      <c r="D95" s="497"/>
      <c r="E95" s="493"/>
      <c r="F95" s="497"/>
      <c r="G95" s="493"/>
      <c r="H95" s="504"/>
      <c r="I95" s="415"/>
      <c r="J95" s="504"/>
      <c r="K95" s="415"/>
      <c r="L95" s="504"/>
      <c r="M95" s="415"/>
      <c r="N95" s="504"/>
      <c r="O95" s="415"/>
      <c r="P95" s="504"/>
      <c r="Q95" s="493"/>
      <c r="R95" s="504"/>
      <c r="S95" s="415"/>
      <c r="T95" s="504"/>
      <c r="U95" s="415"/>
      <c r="V95" s="504"/>
      <c r="W95" s="415"/>
      <c r="X95" s="497"/>
      <c r="Y95" s="493"/>
      <c r="Z95" s="497"/>
      <c r="AA95" s="493"/>
      <c r="AB95" s="497"/>
      <c r="AC95" s="493"/>
      <c r="AD95" s="504"/>
      <c r="AE95" s="415"/>
      <c r="AF95" s="504">
        <v>2</v>
      </c>
      <c r="AG95" s="415">
        <v>524.6</v>
      </c>
      <c r="AH95" s="504"/>
      <c r="AI95" s="415"/>
      <c r="AJ95" s="504"/>
      <c r="AK95" s="415"/>
      <c r="AL95" s="514">
        <f t="shared" si="9"/>
        <v>2</v>
      </c>
      <c r="AM95" s="516">
        <f t="shared" si="10"/>
        <v>524.6</v>
      </c>
    </row>
    <row r="96" spans="1:39" s="65" customFormat="1" ht="19.5" customHeight="1">
      <c r="A96" s="10" t="s">
        <v>116</v>
      </c>
      <c r="B96" s="497"/>
      <c r="C96" s="493"/>
      <c r="D96" s="497"/>
      <c r="E96" s="493"/>
      <c r="F96" s="497"/>
      <c r="G96" s="493"/>
      <c r="H96" s="504"/>
      <c r="I96" s="415"/>
      <c r="J96" s="504"/>
      <c r="K96" s="415"/>
      <c r="L96" s="504"/>
      <c r="M96" s="415"/>
      <c r="N96" s="504"/>
      <c r="O96" s="415"/>
      <c r="P96" s="504"/>
      <c r="Q96" s="493"/>
      <c r="R96" s="504"/>
      <c r="S96" s="415"/>
      <c r="T96" s="504"/>
      <c r="U96" s="415"/>
      <c r="V96" s="504">
        <v>2</v>
      </c>
      <c r="W96" s="415">
        <v>368.2</v>
      </c>
      <c r="X96" s="497"/>
      <c r="Y96" s="493"/>
      <c r="Z96" s="497"/>
      <c r="AA96" s="493"/>
      <c r="AB96" s="497"/>
      <c r="AC96" s="493"/>
      <c r="AD96" s="504"/>
      <c r="AE96" s="415"/>
      <c r="AF96" s="504">
        <v>1</v>
      </c>
      <c r="AG96" s="415">
        <v>178.7</v>
      </c>
      <c r="AH96" s="504"/>
      <c r="AI96" s="415"/>
      <c r="AJ96" s="504"/>
      <c r="AK96" s="415"/>
      <c r="AL96" s="514">
        <f t="shared" si="9"/>
        <v>3</v>
      </c>
      <c r="AM96" s="516">
        <f t="shared" si="10"/>
        <v>546.9</v>
      </c>
    </row>
    <row r="97" spans="1:39" s="281" customFormat="1" ht="19.5" customHeight="1">
      <c r="A97" s="16" t="s">
        <v>135</v>
      </c>
      <c r="B97" s="498"/>
      <c r="C97" s="494"/>
      <c r="D97" s="498"/>
      <c r="E97" s="494"/>
      <c r="F97" s="498"/>
      <c r="G97" s="494"/>
      <c r="H97" s="505"/>
      <c r="I97" s="506"/>
      <c r="J97" s="505"/>
      <c r="K97" s="506"/>
      <c r="L97" s="505"/>
      <c r="M97" s="506"/>
      <c r="N97" s="505"/>
      <c r="O97" s="506"/>
      <c r="P97" s="505"/>
      <c r="Q97" s="494"/>
      <c r="R97" s="505"/>
      <c r="S97" s="506"/>
      <c r="T97" s="505"/>
      <c r="U97" s="506"/>
      <c r="V97" s="505"/>
      <c r="W97" s="506"/>
      <c r="X97" s="498"/>
      <c r="Y97" s="494"/>
      <c r="Z97" s="498"/>
      <c r="AA97" s="494"/>
      <c r="AB97" s="498"/>
      <c r="AC97" s="494"/>
      <c r="AD97" s="505"/>
      <c r="AE97" s="506"/>
      <c r="AF97" s="505">
        <v>1</v>
      </c>
      <c r="AG97" s="506">
        <v>295.8</v>
      </c>
      <c r="AH97" s="505"/>
      <c r="AI97" s="506"/>
      <c r="AJ97" s="505"/>
      <c r="AK97" s="506"/>
      <c r="AL97" s="515">
        <f t="shared" si="9"/>
        <v>1</v>
      </c>
      <c r="AM97" s="517">
        <f t="shared" si="10"/>
        <v>295.8</v>
      </c>
    </row>
    <row r="98" spans="1:39" s="65" customFormat="1" ht="21.75" customHeight="1" thickBot="1">
      <c r="A98" s="520" t="s">
        <v>500</v>
      </c>
      <c r="B98" s="555">
        <f>11+2+5</f>
        <v>18</v>
      </c>
      <c r="C98" s="556">
        <f>88.3+967.5+247.6+350.8</f>
        <v>1654.1999999999998</v>
      </c>
      <c r="D98" s="555"/>
      <c r="E98" s="556"/>
      <c r="F98" s="555"/>
      <c r="G98" s="556"/>
      <c r="H98" s="557"/>
      <c r="I98" s="558"/>
      <c r="J98" s="557">
        <f>2+5</f>
        <v>7</v>
      </c>
      <c r="K98" s="558">
        <f>286.8+231.3</f>
        <v>518.1</v>
      </c>
      <c r="L98" s="557">
        <v>3</v>
      </c>
      <c r="M98" s="558">
        <v>58.7</v>
      </c>
      <c r="N98" s="557">
        <v>1</v>
      </c>
      <c r="O98" s="558">
        <f>130.6+69.8</f>
        <v>200.39999999999998</v>
      </c>
      <c r="P98" s="557">
        <v>7</v>
      </c>
      <c r="Q98" s="556">
        <v>656.3</v>
      </c>
      <c r="R98" s="557"/>
      <c r="S98" s="558"/>
      <c r="T98" s="557">
        <v>7</v>
      </c>
      <c r="U98" s="558">
        <v>492</v>
      </c>
      <c r="V98" s="557">
        <f>6+7</f>
        <v>13</v>
      </c>
      <c r="W98" s="558">
        <f>272.9+576.2</f>
        <v>849.1</v>
      </c>
      <c r="X98" s="557">
        <f>1+2</f>
        <v>3</v>
      </c>
      <c r="Y98" s="558">
        <f>62.7+165.3+803.3</f>
        <v>1031.3</v>
      </c>
      <c r="Z98" s="555">
        <f>5+10</f>
        <v>15</v>
      </c>
      <c r="AA98" s="556">
        <f>497.4+105.6</f>
        <v>603</v>
      </c>
      <c r="AB98" s="555"/>
      <c r="AC98" s="556">
        <v>18.5</v>
      </c>
      <c r="AD98" s="555">
        <f>2+2</f>
        <v>4</v>
      </c>
      <c r="AE98" s="806">
        <f>3276+308+98.6</f>
        <v>3682.6</v>
      </c>
      <c r="AF98" s="555"/>
      <c r="AG98" s="556"/>
      <c r="AH98" s="555"/>
      <c r="AI98" s="556">
        <v>149.9</v>
      </c>
      <c r="AJ98" s="555"/>
      <c r="AK98" s="556"/>
      <c r="AL98" s="559">
        <f>SUM(B98,D98,F98,H98,J98,L98,N98,P98,R98,T98,V98,Z98,X98,AB98,AD98,AF98,AH98,AJ98)</f>
        <v>78</v>
      </c>
      <c r="AM98" s="561">
        <f>SUM(C98,E98,G98,I98,K98,M98,O98,Q98,S98,U98,W98,AA98,Y98,AC98,AE98,AG98,AI98,AK98)</f>
        <v>9914.1</v>
      </c>
    </row>
    <row r="99" spans="1:39" s="289" customFormat="1" ht="27" customHeight="1" thickBot="1">
      <c r="A99" s="545" t="s">
        <v>507</v>
      </c>
      <c r="B99" s="546">
        <f>SUM(B4:B98)</f>
        <v>429</v>
      </c>
      <c r="C99" s="807">
        <f>SUM(C4:C98)</f>
        <v>63826.4</v>
      </c>
      <c r="D99" s="546">
        <f aca="true" t="shared" si="11" ref="D99:AM99">SUM(D4:D98)</f>
        <v>11</v>
      </c>
      <c r="E99" s="807">
        <f t="shared" si="11"/>
        <v>2361.3</v>
      </c>
      <c r="F99" s="546">
        <f t="shared" si="11"/>
        <v>18</v>
      </c>
      <c r="G99" s="807">
        <f t="shared" si="11"/>
        <v>3712.8</v>
      </c>
      <c r="H99" s="547">
        <f t="shared" si="11"/>
        <v>345</v>
      </c>
      <c r="I99" s="809">
        <f t="shared" si="11"/>
        <v>38432.00000000001</v>
      </c>
      <c r="J99" s="547">
        <f t="shared" si="11"/>
        <v>68</v>
      </c>
      <c r="K99" s="809">
        <f t="shared" si="11"/>
        <v>8176</v>
      </c>
      <c r="L99" s="547">
        <f t="shared" si="11"/>
        <v>76</v>
      </c>
      <c r="M99" s="809">
        <f t="shared" si="11"/>
        <v>5988.4</v>
      </c>
      <c r="N99" s="547">
        <f t="shared" si="11"/>
        <v>31</v>
      </c>
      <c r="O99" s="809">
        <f t="shared" si="11"/>
        <v>6256.599999999999</v>
      </c>
      <c r="P99" s="547">
        <f t="shared" si="11"/>
        <v>50</v>
      </c>
      <c r="Q99" s="807">
        <f t="shared" si="11"/>
        <v>10846.1</v>
      </c>
      <c r="R99" s="547">
        <f t="shared" si="11"/>
        <v>31</v>
      </c>
      <c r="S99" s="809">
        <f t="shared" si="11"/>
        <v>3468</v>
      </c>
      <c r="T99" s="547">
        <f t="shared" si="11"/>
        <v>67</v>
      </c>
      <c r="U99" s="548">
        <f t="shared" si="11"/>
        <v>9274.599999999999</v>
      </c>
      <c r="V99" s="547">
        <f t="shared" si="11"/>
        <v>164</v>
      </c>
      <c r="W99" s="809">
        <f>SUM(W4:W98)</f>
        <v>23070.599999999995</v>
      </c>
      <c r="X99" s="547">
        <f t="shared" si="11"/>
        <v>220</v>
      </c>
      <c r="Y99" s="809">
        <f t="shared" si="11"/>
        <v>28126.19999999999</v>
      </c>
      <c r="Z99" s="546">
        <f t="shared" si="11"/>
        <v>317</v>
      </c>
      <c r="AA99" s="807">
        <f t="shared" si="11"/>
        <v>56845.10000000003</v>
      </c>
      <c r="AB99" s="546">
        <f t="shared" si="11"/>
        <v>32</v>
      </c>
      <c r="AC99" s="807">
        <f t="shared" si="11"/>
        <v>5982.8</v>
      </c>
      <c r="AD99" s="546">
        <f t="shared" si="11"/>
        <v>204</v>
      </c>
      <c r="AE99" s="807">
        <f t="shared" si="11"/>
        <v>40195.50000000001</v>
      </c>
      <c r="AF99" s="546">
        <f t="shared" si="11"/>
        <v>62</v>
      </c>
      <c r="AG99" s="807">
        <f t="shared" si="11"/>
        <v>9464.300000000001</v>
      </c>
      <c r="AH99" s="546">
        <f t="shared" si="11"/>
        <v>80</v>
      </c>
      <c r="AI99" s="807">
        <f t="shared" si="11"/>
        <v>11238.9</v>
      </c>
      <c r="AJ99" s="546">
        <f t="shared" si="11"/>
        <v>21</v>
      </c>
      <c r="AK99" s="807">
        <f t="shared" si="11"/>
        <v>1194.6</v>
      </c>
      <c r="AL99" s="810">
        <f t="shared" si="11"/>
        <v>2226</v>
      </c>
      <c r="AM99" s="809">
        <f t="shared" si="11"/>
        <v>328460.2000000001</v>
      </c>
    </row>
    <row r="100" spans="1:39" s="65" customFormat="1" ht="27" customHeight="1">
      <c r="A100" s="9" t="s">
        <v>504</v>
      </c>
      <c r="B100" s="499"/>
      <c r="C100" s="491"/>
      <c r="D100" s="499"/>
      <c r="E100" s="491"/>
      <c r="F100" s="499"/>
      <c r="G100" s="491"/>
      <c r="H100" s="507"/>
      <c r="I100" s="508"/>
      <c r="J100" s="507"/>
      <c r="K100" s="508"/>
      <c r="L100" s="507"/>
      <c r="M100" s="508"/>
      <c r="N100" s="507"/>
      <c r="O100" s="508"/>
      <c r="P100" s="507"/>
      <c r="Q100" s="491"/>
      <c r="R100" s="507"/>
      <c r="S100" s="508"/>
      <c r="T100" s="507"/>
      <c r="U100" s="508"/>
      <c r="V100" s="507"/>
      <c r="W100" s="508"/>
      <c r="X100" s="507"/>
      <c r="Y100" s="508"/>
      <c r="Z100" s="499"/>
      <c r="AA100" s="491"/>
      <c r="AB100" s="499"/>
      <c r="AC100" s="491"/>
      <c r="AD100" s="499"/>
      <c r="AE100" s="491"/>
      <c r="AF100" s="499"/>
      <c r="AG100" s="491"/>
      <c r="AH100" s="499"/>
      <c r="AI100" s="491"/>
      <c r="AJ100" s="499"/>
      <c r="AK100" s="491"/>
      <c r="AL100" s="499"/>
      <c r="AM100" s="508"/>
    </row>
    <row r="101" spans="2:39" s="65" customFormat="1" ht="27" customHeight="1">
      <c r="B101" s="499"/>
      <c r="C101" s="491"/>
      <c r="D101" s="499"/>
      <c r="E101" s="491"/>
      <c r="F101" s="499"/>
      <c r="G101" s="491"/>
      <c r="H101" s="507"/>
      <c r="I101" s="508"/>
      <c r="J101" s="507"/>
      <c r="K101" s="508"/>
      <c r="L101" s="507"/>
      <c r="M101" s="508"/>
      <c r="N101" s="507"/>
      <c r="O101" s="508"/>
      <c r="P101" s="507"/>
      <c r="Q101" s="491"/>
      <c r="R101" s="507"/>
      <c r="S101" s="508"/>
      <c r="T101" s="507"/>
      <c r="U101" s="508"/>
      <c r="V101" s="507"/>
      <c r="W101" s="508"/>
      <c r="X101" s="507"/>
      <c r="Y101" s="508"/>
      <c r="Z101" s="499"/>
      <c r="AA101" s="491"/>
      <c r="AB101" s="499"/>
      <c r="AC101" s="491"/>
      <c r="AD101" s="499"/>
      <c r="AE101" s="491"/>
      <c r="AF101" s="499"/>
      <c r="AG101" s="491"/>
      <c r="AH101" s="499"/>
      <c r="AI101" s="491"/>
      <c r="AJ101" s="499"/>
      <c r="AK101" s="491"/>
      <c r="AL101" s="499"/>
      <c r="AM101" s="508"/>
    </row>
    <row r="102" spans="2:39" s="65" customFormat="1" ht="27" customHeight="1">
      <c r="B102" s="499"/>
      <c r="C102" s="491"/>
      <c r="D102" s="499"/>
      <c r="E102" s="491"/>
      <c r="F102" s="499"/>
      <c r="G102" s="491"/>
      <c r="H102" s="507"/>
      <c r="I102" s="508"/>
      <c r="J102" s="507"/>
      <c r="K102" s="808"/>
      <c r="L102" s="507"/>
      <c r="M102" s="508"/>
      <c r="N102" s="507"/>
      <c r="O102" s="508"/>
      <c r="P102" s="507"/>
      <c r="Q102" s="491"/>
      <c r="R102" s="507"/>
      <c r="S102" s="508"/>
      <c r="T102" s="507"/>
      <c r="U102" s="508"/>
      <c r="V102" s="507"/>
      <c r="W102" s="508"/>
      <c r="X102" s="507"/>
      <c r="Y102" s="508"/>
      <c r="Z102" s="499"/>
      <c r="AA102" s="491"/>
      <c r="AB102" s="499"/>
      <c r="AC102" s="491"/>
      <c r="AD102" s="499"/>
      <c r="AE102" s="491"/>
      <c r="AF102" s="499"/>
      <c r="AG102" s="491"/>
      <c r="AH102" s="499"/>
      <c r="AI102" s="491"/>
      <c r="AJ102" s="499"/>
      <c r="AK102" s="491"/>
      <c r="AL102" s="499"/>
      <c r="AM102" s="508"/>
    </row>
    <row r="103" spans="2:39" s="65" customFormat="1" ht="27" customHeight="1">
      <c r="B103" s="499"/>
      <c r="C103" s="491"/>
      <c r="D103" s="499"/>
      <c r="E103" s="491"/>
      <c r="F103" s="499"/>
      <c r="G103" s="491"/>
      <c r="H103" s="507"/>
      <c r="I103" s="508"/>
      <c r="J103" s="507"/>
      <c r="K103" s="508"/>
      <c r="L103" s="507"/>
      <c r="M103" s="508"/>
      <c r="N103" s="507"/>
      <c r="O103" s="508"/>
      <c r="P103" s="507"/>
      <c r="Q103" s="491"/>
      <c r="R103" s="507"/>
      <c r="S103" s="508"/>
      <c r="T103" s="507"/>
      <c r="U103" s="508"/>
      <c r="V103" s="507"/>
      <c r="W103" s="508"/>
      <c r="X103" s="507"/>
      <c r="Y103" s="508"/>
      <c r="Z103" s="499"/>
      <c r="AA103" s="491"/>
      <c r="AB103" s="499"/>
      <c r="AC103" s="491"/>
      <c r="AD103" s="499"/>
      <c r="AE103" s="491"/>
      <c r="AF103" s="499"/>
      <c r="AG103" s="491"/>
      <c r="AH103" s="499"/>
      <c r="AI103" s="491"/>
      <c r="AJ103" s="499"/>
      <c r="AK103" s="491"/>
      <c r="AL103" s="499"/>
      <c r="AM103" s="508"/>
    </row>
    <row r="104" spans="2:39" s="65" customFormat="1" ht="27" customHeight="1">
      <c r="B104" s="499"/>
      <c r="C104" s="491"/>
      <c r="D104" s="499"/>
      <c r="E104" s="491"/>
      <c r="F104" s="499"/>
      <c r="G104" s="491"/>
      <c r="H104" s="507"/>
      <c r="I104" s="508"/>
      <c r="J104" s="507"/>
      <c r="K104" s="508"/>
      <c r="L104" s="507"/>
      <c r="M104" s="508"/>
      <c r="N104" s="507"/>
      <c r="O104" s="508"/>
      <c r="P104" s="507"/>
      <c r="Q104" s="491"/>
      <c r="R104" s="507"/>
      <c r="S104" s="508"/>
      <c r="T104" s="507"/>
      <c r="U104" s="508"/>
      <c r="V104" s="507"/>
      <c r="W104" s="508"/>
      <c r="X104" s="507"/>
      <c r="Y104" s="508"/>
      <c r="Z104" s="499"/>
      <c r="AA104" s="491"/>
      <c r="AB104" s="499"/>
      <c r="AC104" s="491"/>
      <c r="AD104" s="499"/>
      <c r="AE104" s="491"/>
      <c r="AF104" s="499"/>
      <c r="AG104" s="491"/>
      <c r="AH104" s="499"/>
      <c r="AI104" s="491"/>
      <c r="AJ104" s="499"/>
      <c r="AK104" s="491"/>
      <c r="AL104" s="499"/>
      <c r="AM104" s="508"/>
    </row>
    <row r="105" spans="2:39" s="65" customFormat="1" ht="27" customHeight="1">
      <c r="B105" s="499"/>
      <c r="C105" s="491"/>
      <c r="D105" s="499"/>
      <c r="E105" s="491"/>
      <c r="F105" s="499"/>
      <c r="G105" s="491"/>
      <c r="H105" s="507"/>
      <c r="I105" s="508"/>
      <c r="J105" s="507"/>
      <c r="K105" s="508"/>
      <c r="L105" s="507"/>
      <c r="M105" s="508"/>
      <c r="N105" s="507"/>
      <c r="O105" s="508"/>
      <c r="P105" s="507"/>
      <c r="Q105" s="491"/>
      <c r="R105" s="507"/>
      <c r="S105" s="508"/>
      <c r="T105" s="507"/>
      <c r="U105" s="508"/>
      <c r="V105" s="507"/>
      <c r="W105" s="508"/>
      <c r="X105" s="507"/>
      <c r="Y105" s="508"/>
      <c r="Z105" s="499"/>
      <c r="AA105" s="491"/>
      <c r="AB105" s="499"/>
      <c r="AC105" s="491"/>
      <c r="AD105" s="499"/>
      <c r="AE105" s="491"/>
      <c r="AF105" s="499"/>
      <c r="AG105" s="491"/>
      <c r="AH105" s="499"/>
      <c r="AI105" s="491"/>
      <c r="AJ105" s="499"/>
      <c r="AK105" s="491"/>
      <c r="AL105" s="499"/>
      <c r="AM105" s="508"/>
    </row>
    <row r="106" spans="2:39" s="65" customFormat="1" ht="27" customHeight="1">
      <c r="B106" s="499"/>
      <c r="C106" s="491"/>
      <c r="D106" s="499"/>
      <c r="E106" s="491"/>
      <c r="F106" s="499"/>
      <c r="G106" s="491"/>
      <c r="H106" s="507"/>
      <c r="I106" s="508"/>
      <c r="J106" s="507"/>
      <c r="K106" s="508"/>
      <c r="L106" s="507"/>
      <c r="M106" s="508"/>
      <c r="N106" s="507"/>
      <c r="O106" s="508"/>
      <c r="P106" s="507"/>
      <c r="Q106" s="491"/>
      <c r="R106" s="507"/>
      <c r="S106" s="508"/>
      <c r="T106" s="507"/>
      <c r="U106" s="508"/>
      <c r="V106" s="507"/>
      <c r="W106" s="508"/>
      <c r="X106" s="507"/>
      <c r="Y106" s="508"/>
      <c r="Z106" s="499"/>
      <c r="AA106" s="491"/>
      <c r="AB106" s="499"/>
      <c r="AC106" s="491"/>
      <c r="AD106" s="499"/>
      <c r="AE106" s="491"/>
      <c r="AF106" s="499"/>
      <c r="AG106" s="491"/>
      <c r="AH106" s="499"/>
      <c r="AI106" s="491"/>
      <c r="AJ106" s="499"/>
      <c r="AK106" s="491"/>
      <c r="AL106" s="499"/>
      <c r="AM106" s="508"/>
    </row>
    <row r="107" spans="2:39" s="65" customFormat="1" ht="27" customHeight="1">
      <c r="B107" s="499"/>
      <c r="C107" s="491"/>
      <c r="D107" s="499"/>
      <c r="E107" s="491"/>
      <c r="F107" s="499"/>
      <c r="G107" s="491"/>
      <c r="H107" s="507"/>
      <c r="I107" s="508"/>
      <c r="J107" s="507"/>
      <c r="K107" s="508"/>
      <c r="L107" s="507"/>
      <c r="M107" s="508"/>
      <c r="N107" s="507"/>
      <c r="O107" s="508"/>
      <c r="P107" s="507"/>
      <c r="Q107" s="491"/>
      <c r="R107" s="507"/>
      <c r="S107" s="508"/>
      <c r="T107" s="507"/>
      <c r="U107" s="508"/>
      <c r="V107" s="507"/>
      <c r="W107" s="508"/>
      <c r="X107" s="507"/>
      <c r="Y107" s="508"/>
      <c r="Z107" s="499"/>
      <c r="AA107" s="491"/>
      <c r="AB107" s="499"/>
      <c r="AC107" s="491"/>
      <c r="AD107" s="499"/>
      <c r="AE107" s="491"/>
      <c r="AF107" s="499"/>
      <c r="AG107" s="491"/>
      <c r="AH107" s="499"/>
      <c r="AI107" s="491"/>
      <c r="AJ107" s="499"/>
      <c r="AK107" s="491"/>
      <c r="AL107" s="499"/>
      <c r="AM107" s="508"/>
    </row>
    <row r="108" spans="2:39" s="65" customFormat="1" ht="27" customHeight="1">
      <c r="B108" s="499"/>
      <c r="C108" s="491"/>
      <c r="D108" s="499"/>
      <c r="E108" s="491"/>
      <c r="F108" s="499"/>
      <c r="G108" s="491"/>
      <c r="H108" s="507"/>
      <c r="I108" s="508"/>
      <c r="J108" s="507"/>
      <c r="K108" s="508"/>
      <c r="L108" s="507"/>
      <c r="M108" s="508"/>
      <c r="N108" s="507"/>
      <c r="O108" s="508"/>
      <c r="P108" s="507"/>
      <c r="Q108" s="491"/>
      <c r="R108" s="507"/>
      <c r="S108" s="508"/>
      <c r="T108" s="507"/>
      <c r="U108" s="508"/>
      <c r="V108" s="507"/>
      <c r="W108" s="508"/>
      <c r="X108" s="507"/>
      <c r="Y108" s="508"/>
      <c r="Z108" s="499"/>
      <c r="AA108" s="491"/>
      <c r="AB108" s="499"/>
      <c r="AC108" s="491"/>
      <c r="AD108" s="499"/>
      <c r="AE108" s="491"/>
      <c r="AF108" s="499"/>
      <c r="AG108" s="491"/>
      <c r="AH108" s="499"/>
      <c r="AI108" s="491"/>
      <c r="AJ108" s="499"/>
      <c r="AK108" s="491"/>
      <c r="AL108" s="499"/>
      <c r="AM108" s="508"/>
    </row>
    <row r="109" spans="2:39" s="65" customFormat="1" ht="27" customHeight="1">
      <c r="B109" s="499"/>
      <c r="C109" s="491"/>
      <c r="D109" s="499"/>
      <c r="E109" s="491"/>
      <c r="F109" s="499"/>
      <c r="G109" s="491"/>
      <c r="H109" s="507"/>
      <c r="I109" s="508"/>
      <c r="J109" s="507"/>
      <c r="K109" s="508"/>
      <c r="L109" s="507"/>
      <c r="M109" s="508"/>
      <c r="N109" s="507"/>
      <c r="O109" s="508"/>
      <c r="P109" s="507"/>
      <c r="Q109" s="491"/>
      <c r="R109" s="507"/>
      <c r="S109" s="508"/>
      <c r="T109" s="507"/>
      <c r="U109" s="508"/>
      <c r="V109" s="507"/>
      <c r="W109" s="508"/>
      <c r="X109" s="507"/>
      <c r="Y109" s="508"/>
      <c r="Z109" s="499"/>
      <c r="AA109" s="491"/>
      <c r="AB109" s="499"/>
      <c r="AC109" s="491"/>
      <c r="AD109" s="499"/>
      <c r="AE109" s="491"/>
      <c r="AF109" s="499"/>
      <c r="AG109" s="491"/>
      <c r="AH109" s="499"/>
      <c r="AI109" s="491"/>
      <c r="AJ109" s="499"/>
      <c r="AK109" s="491"/>
      <c r="AL109" s="499"/>
      <c r="AM109" s="508"/>
    </row>
    <row r="110" spans="2:39" s="65" customFormat="1" ht="27" customHeight="1">
      <c r="B110" s="499"/>
      <c r="C110" s="491"/>
      <c r="D110" s="499"/>
      <c r="E110" s="491"/>
      <c r="F110" s="499"/>
      <c r="G110" s="491"/>
      <c r="H110" s="507"/>
      <c r="I110" s="508"/>
      <c r="J110" s="507"/>
      <c r="K110" s="508"/>
      <c r="L110" s="507"/>
      <c r="M110" s="508"/>
      <c r="N110" s="507"/>
      <c r="O110" s="508"/>
      <c r="P110" s="507"/>
      <c r="Q110" s="491"/>
      <c r="R110" s="507"/>
      <c r="S110" s="508"/>
      <c r="T110" s="507"/>
      <c r="U110" s="508"/>
      <c r="V110" s="507"/>
      <c r="W110" s="508"/>
      <c r="X110" s="507"/>
      <c r="Y110" s="508"/>
      <c r="Z110" s="499"/>
      <c r="AA110" s="491"/>
      <c r="AB110" s="499"/>
      <c r="AC110" s="491"/>
      <c r="AD110" s="499"/>
      <c r="AE110" s="491"/>
      <c r="AF110" s="499"/>
      <c r="AG110" s="491"/>
      <c r="AH110" s="499"/>
      <c r="AI110" s="491"/>
      <c r="AJ110" s="499"/>
      <c r="AK110" s="491"/>
      <c r="AL110" s="499"/>
      <c r="AM110" s="508"/>
    </row>
    <row r="111" spans="2:39" s="65" customFormat="1" ht="27" customHeight="1">
      <c r="B111" s="499"/>
      <c r="C111" s="491"/>
      <c r="D111" s="499"/>
      <c r="E111" s="491"/>
      <c r="F111" s="499"/>
      <c r="G111" s="491"/>
      <c r="H111" s="507"/>
      <c r="I111" s="508"/>
      <c r="J111" s="507"/>
      <c r="K111" s="508"/>
      <c r="L111" s="507"/>
      <c r="M111" s="508"/>
      <c r="N111" s="507"/>
      <c r="O111" s="508"/>
      <c r="P111" s="507"/>
      <c r="Q111" s="491"/>
      <c r="R111" s="507"/>
      <c r="S111" s="508"/>
      <c r="T111" s="507"/>
      <c r="U111" s="508"/>
      <c r="V111" s="507"/>
      <c r="W111" s="508"/>
      <c r="X111" s="507"/>
      <c r="Y111" s="508"/>
      <c r="Z111" s="499"/>
      <c r="AA111" s="491"/>
      <c r="AB111" s="499"/>
      <c r="AC111" s="491"/>
      <c r="AD111" s="499"/>
      <c r="AE111" s="491"/>
      <c r="AF111" s="499"/>
      <c r="AG111" s="491"/>
      <c r="AH111" s="499"/>
      <c r="AI111" s="491"/>
      <c r="AJ111" s="499"/>
      <c r="AK111" s="491"/>
      <c r="AL111" s="499"/>
      <c r="AM111" s="508"/>
    </row>
    <row r="112" spans="2:39" s="65" customFormat="1" ht="27" customHeight="1">
      <c r="B112" s="499"/>
      <c r="C112" s="491"/>
      <c r="D112" s="499"/>
      <c r="E112" s="491"/>
      <c r="F112" s="499"/>
      <c r="G112" s="491"/>
      <c r="H112" s="507"/>
      <c r="I112" s="508"/>
      <c r="J112" s="507"/>
      <c r="K112" s="508"/>
      <c r="L112" s="507"/>
      <c r="M112" s="508"/>
      <c r="N112" s="507"/>
      <c r="O112" s="508"/>
      <c r="P112" s="507"/>
      <c r="Q112" s="491"/>
      <c r="R112" s="507"/>
      <c r="S112" s="508"/>
      <c r="T112" s="507"/>
      <c r="U112" s="508"/>
      <c r="V112" s="507"/>
      <c r="W112" s="508"/>
      <c r="X112" s="507"/>
      <c r="Y112" s="508"/>
      <c r="Z112" s="499"/>
      <c r="AA112" s="491"/>
      <c r="AB112" s="499"/>
      <c r="AC112" s="491"/>
      <c r="AD112" s="499"/>
      <c r="AE112" s="491"/>
      <c r="AF112" s="499"/>
      <c r="AG112" s="491"/>
      <c r="AH112" s="499"/>
      <c r="AI112" s="491"/>
      <c r="AJ112" s="499"/>
      <c r="AK112" s="491"/>
      <c r="AL112" s="499"/>
      <c r="AM112" s="508"/>
    </row>
    <row r="113" spans="2:39" s="65" customFormat="1" ht="27" customHeight="1">
      <c r="B113" s="499"/>
      <c r="C113" s="491"/>
      <c r="D113" s="499"/>
      <c r="E113" s="491"/>
      <c r="F113" s="499"/>
      <c r="G113" s="491"/>
      <c r="H113" s="507"/>
      <c r="I113" s="508"/>
      <c r="J113" s="507"/>
      <c r="K113" s="508"/>
      <c r="L113" s="507"/>
      <c r="M113" s="508"/>
      <c r="N113" s="507"/>
      <c r="O113" s="508"/>
      <c r="P113" s="507"/>
      <c r="Q113" s="491"/>
      <c r="R113" s="507"/>
      <c r="S113" s="508"/>
      <c r="T113" s="507"/>
      <c r="U113" s="508"/>
      <c r="V113" s="507"/>
      <c r="W113" s="508"/>
      <c r="X113" s="507"/>
      <c r="Y113" s="508"/>
      <c r="Z113" s="499"/>
      <c r="AA113" s="491"/>
      <c r="AB113" s="499"/>
      <c r="AC113" s="491"/>
      <c r="AD113" s="499"/>
      <c r="AE113" s="491"/>
      <c r="AF113" s="499"/>
      <c r="AG113" s="491"/>
      <c r="AH113" s="499"/>
      <c r="AI113" s="491"/>
      <c r="AJ113" s="499"/>
      <c r="AK113" s="491"/>
      <c r="AL113" s="499"/>
      <c r="AM113" s="508"/>
    </row>
    <row r="114" spans="2:39" s="65" customFormat="1" ht="27" customHeight="1">
      <c r="B114" s="499"/>
      <c r="C114" s="491"/>
      <c r="D114" s="499"/>
      <c r="E114" s="491"/>
      <c r="F114" s="499"/>
      <c r="G114" s="491"/>
      <c r="H114" s="507"/>
      <c r="I114" s="508"/>
      <c r="J114" s="507"/>
      <c r="K114" s="508"/>
      <c r="L114" s="507"/>
      <c r="M114" s="508"/>
      <c r="N114" s="507"/>
      <c r="O114" s="508"/>
      <c r="P114" s="507"/>
      <c r="Q114" s="491"/>
      <c r="R114" s="507"/>
      <c r="S114" s="508"/>
      <c r="T114" s="507"/>
      <c r="U114" s="508"/>
      <c r="V114" s="507"/>
      <c r="W114" s="508"/>
      <c r="X114" s="507"/>
      <c r="Y114" s="508"/>
      <c r="Z114" s="499"/>
      <c r="AA114" s="491"/>
      <c r="AB114" s="499"/>
      <c r="AC114" s="491"/>
      <c r="AD114" s="499"/>
      <c r="AE114" s="491"/>
      <c r="AF114" s="499"/>
      <c r="AG114" s="491"/>
      <c r="AH114" s="499"/>
      <c r="AI114" s="491"/>
      <c r="AJ114" s="499"/>
      <c r="AK114" s="491"/>
      <c r="AL114" s="499"/>
      <c r="AM114" s="508"/>
    </row>
    <row r="115" spans="2:39" s="65" customFormat="1" ht="27" customHeight="1">
      <c r="B115" s="499"/>
      <c r="C115" s="491"/>
      <c r="D115" s="499"/>
      <c r="E115" s="491"/>
      <c r="F115" s="499"/>
      <c r="G115" s="491"/>
      <c r="H115" s="507"/>
      <c r="I115" s="508"/>
      <c r="J115" s="507"/>
      <c r="K115" s="508"/>
      <c r="L115" s="507"/>
      <c r="M115" s="508"/>
      <c r="N115" s="507"/>
      <c r="O115" s="508"/>
      <c r="P115" s="507"/>
      <c r="Q115" s="491"/>
      <c r="R115" s="507"/>
      <c r="S115" s="508"/>
      <c r="T115" s="507"/>
      <c r="U115" s="508"/>
      <c r="V115" s="507"/>
      <c r="W115" s="508"/>
      <c r="X115" s="507"/>
      <c r="Y115" s="508"/>
      <c r="Z115" s="499"/>
      <c r="AA115" s="491"/>
      <c r="AB115" s="499"/>
      <c r="AC115" s="491"/>
      <c r="AD115" s="499"/>
      <c r="AE115" s="491"/>
      <c r="AF115" s="499"/>
      <c r="AG115" s="491"/>
      <c r="AH115" s="499"/>
      <c r="AI115" s="491"/>
      <c r="AJ115" s="499"/>
      <c r="AK115" s="491"/>
      <c r="AL115" s="499"/>
      <c r="AM115" s="508"/>
    </row>
    <row r="116" spans="2:39" s="65" customFormat="1" ht="27" customHeight="1">
      <c r="B116" s="499"/>
      <c r="C116" s="491"/>
      <c r="D116" s="499"/>
      <c r="E116" s="491"/>
      <c r="F116" s="499"/>
      <c r="G116" s="491"/>
      <c r="H116" s="507"/>
      <c r="I116" s="508"/>
      <c r="J116" s="507"/>
      <c r="K116" s="508"/>
      <c r="L116" s="507"/>
      <c r="M116" s="508"/>
      <c r="N116" s="507"/>
      <c r="O116" s="508"/>
      <c r="P116" s="507"/>
      <c r="Q116" s="491"/>
      <c r="R116" s="507"/>
      <c r="S116" s="508"/>
      <c r="T116" s="507"/>
      <c r="U116" s="508"/>
      <c r="V116" s="507"/>
      <c r="W116" s="508"/>
      <c r="X116" s="507"/>
      <c r="Y116" s="508"/>
      <c r="Z116" s="499"/>
      <c r="AA116" s="491"/>
      <c r="AB116" s="499"/>
      <c r="AC116" s="491"/>
      <c r="AD116" s="499"/>
      <c r="AE116" s="491"/>
      <c r="AF116" s="499"/>
      <c r="AG116" s="491"/>
      <c r="AH116" s="499"/>
      <c r="AI116" s="491"/>
      <c r="AJ116" s="499"/>
      <c r="AK116" s="491"/>
      <c r="AL116" s="499"/>
      <c r="AM116" s="508"/>
    </row>
    <row r="117" spans="2:39" s="65" customFormat="1" ht="27" customHeight="1">
      <c r="B117" s="499"/>
      <c r="C117" s="491"/>
      <c r="D117" s="499"/>
      <c r="E117" s="491"/>
      <c r="F117" s="499"/>
      <c r="G117" s="491"/>
      <c r="H117" s="507"/>
      <c r="I117" s="508"/>
      <c r="J117" s="507"/>
      <c r="K117" s="508"/>
      <c r="L117" s="507"/>
      <c r="M117" s="508"/>
      <c r="N117" s="507"/>
      <c r="O117" s="508"/>
      <c r="P117" s="507"/>
      <c r="Q117" s="491"/>
      <c r="R117" s="507"/>
      <c r="S117" s="508"/>
      <c r="T117" s="507"/>
      <c r="U117" s="508"/>
      <c r="V117" s="507"/>
      <c r="W117" s="508"/>
      <c r="X117" s="507"/>
      <c r="Y117" s="508"/>
      <c r="Z117" s="499"/>
      <c r="AA117" s="491"/>
      <c r="AB117" s="499"/>
      <c r="AC117" s="491"/>
      <c r="AD117" s="499"/>
      <c r="AE117" s="491"/>
      <c r="AF117" s="499"/>
      <c r="AG117" s="491"/>
      <c r="AH117" s="499"/>
      <c r="AI117" s="491"/>
      <c r="AJ117" s="499"/>
      <c r="AK117" s="491"/>
      <c r="AL117" s="499"/>
      <c r="AM117" s="508"/>
    </row>
    <row r="118" spans="2:39" s="65" customFormat="1" ht="27" customHeight="1">
      <c r="B118" s="499"/>
      <c r="C118" s="491"/>
      <c r="D118" s="499"/>
      <c r="E118" s="491"/>
      <c r="F118" s="499"/>
      <c r="G118" s="491"/>
      <c r="H118" s="507"/>
      <c r="I118" s="508"/>
      <c r="J118" s="507"/>
      <c r="K118" s="508"/>
      <c r="L118" s="507"/>
      <c r="M118" s="508"/>
      <c r="N118" s="507"/>
      <c r="O118" s="508"/>
      <c r="P118" s="507"/>
      <c r="Q118" s="491"/>
      <c r="R118" s="507"/>
      <c r="S118" s="508"/>
      <c r="T118" s="507"/>
      <c r="U118" s="508"/>
      <c r="V118" s="507"/>
      <c r="W118" s="508"/>
      <c r="X118" s="507"/>
      <c r="Y118" s="508"/>
      <c r="Z118" s="499"/>
      <c r="AA118" s="491"/>
      <c r="AB118" s="499"/>
      <c r="AC118" s="491"/>
      <c r="AD118" s="499"/>
      <c r="AE118" s="491"/>
      <c r="AF118" s="499"/>
      <c r="AG118" s="491"/>
      <c r="AH118" s="499"/>
      <c r="AI118" s="491"/>
      <c r="AJ118" s="499"/>
      <c r="AK118" s="491"/>
      <c r="AL118" s="499"/>
      <c r="AM118" s="508"/>
    </row>
    <row r="119" spans="2:39" s="65" customFormat="1" ht="27" customHeight="1">
      <c r="B119" s="499"/>
      <c r="C119" s="491"/>
      <c r="D119" s="499"/>
      <c r="E119" s="491"/>
      <c r="F119" s="499"/>
      <c r="G119" s="491"/>
      <c r="H119" s="507"/>
      <c r="I119" s="508"/>
      <c r="J119" s="507"/>
      <c r="K119" s="508"/>
      <c r="L119" s="507"/>
      <c r="M119" s="508"/>
      <c r="N119" s="507"/>
      <c r="O119" s="508"/>
      <c r="P119" s="507"/>
      <c r="Q119" s="491"/>
      <c r="R119" s="507"/>
      <c r="S119" s="508"/>
      <c r="T119" s="507"/>
      <c r="U119" s="508"/>
      <c r="V119" s="507"/>
      <c r="W119" s="508"/>
      <c r="X119" s="507"/>
      <c r="Y119" s="508"/>
      <c r="Z119" s="499"/>
      <c r="AA119" s="491"/>
      <c r="AB119" s="499"/>
      <c r="AC119" s="491"/>
      <c r="AD119" s="499"/>
      <c r="AE119" s="491"/>
      <c r="AF119" s="499"/>
      <c r="AG119" s="491"/>
      <c r="AH119" s="499"/>
      <c r="AI119" s="491"/>
      <c r="AJ119" s="499"/>
      <c r="AK119" s="491"/>
      <c r="AL119" s="499"/>
      <c r="AM119" s="508"/>
    </row>
    <row r="120" spans="2:39" s="65" customFormat="1" ht="27" customHeight="1">
      <c r="B120" s="499"/>
      <c r="C120" s="491"/>
      <c r="D120" s="499"/>
      <c r="E120" s="491"/>
      <c r="F120" s="499"/>
      <c r="G120" s="491"/>
      <c r="H120" s="507"/>
      <c r="I120" s="508"/>
      <c r="J120" s="507"/>
      <c r="K120" s="508"/>
      <c r="L120" s="507"/>
      <c r="M120" s="508"/>
      <c r="N120" s="507"/>
      <c r="O120" s="508"/>
      <c r="P120" s="507"/>
      <c r="Q120" s="491"/>
      <c r="R120" s="507"/>
      <c r="S120" s="508"/>
      <c r="T120" s="507"/>
      <c r="U120" s="508"/>
      <c r="V120" s="507"/>
      <c r="W120" s="508"/>
      <c r="X120" s="507"/>
      <c r="Y120" s="508"/>
      <c r="Z120" s="499"/>
      <c r="AA120" s="491"/>
      <c r="AB120" s="499"/>
      <c r="AC120" s="491"/>
      <c r="AD120" s="499"/>
      <c r="AE120" s="491"/>
      <c r="AF120" s="499"/>
      <c r="AG120" s="491"/>
      <c r="AH120" s="499"/>
      <c r="AI120" s="491"/>
      <c r="AJ120" s="499"/>
      <c r="AK120" s="491"/>
      <c r="AL120" s="499"/>
      <c r="AM120" s="508"/>
    </row>
    <row r="121" spans="2:39" s="65" customFormat="1" ht="27" customHeight="1">
      <c r="B121" s="499"/>
      <c r="C121" s="491"/>
      <c r="D121" s="499"/>
      <c r="E121" s="491"/>
      <c r="F121" s="499"/>
      <c r="G121" s="491"/>
      <c r="H121" s="507"/>
      <c r="I121" s="508"/>
      <c r="J121" s="507"/>
      <c r="K121" s="508"/>
      <c r="L121" s="507"/>
      <c r="M121" s="508"/>
      <c r="N121" s="507"/>
      <c r="O121" s="508"/>
      <c r="P121" s="507"/>
      <c r="Q121" s="491"/>
      <c r="R121" s="507"/>
      <c r="S121" s="508"/>
      <c r="T121" s="507"/>
      <c r="U121" s="508"/>
      <c r="V121" s="507"/>
      <c r="W121" s="508"/>
      <c r="X121" s="507"/>
      <c r="Y121" s="508"/>
      <c r="Z121" s="499"/>
      <c r="AA121" s="491"/>
      <c r="AB121" s="499"/>
      <c r="AC121" s="491"/>
      <c r="AD121" s="499"/>
      <c r="AE121" s="491"/>
      <c r="AF121" s="499"/>
      <c r="AG121" s="491"/>
      <c r="AH121" s="499"/>
      <c r="AI121" s="491"/>
      <c r="AJ121" s="499"/>
      <c r="AK121" s="491"/>
      <c r="AL121" s="499"/>
      <c r="AM121" s="508"/>
    </row>
    <row r="122" spans="2:39" s="65" customFormat="1" ht="27" customHeight="1">
      <c r="B122" s="499"/>
      <c r="C122" s="491"/>
      <c r="D122" s="499"/>
      <c r="E122" s="491"/>
      <c r="F122" s="499"/>
      <c r="G122" s="491"/>
      <c r="H122" s="507"/>
      <c r="I122" s="508"/>
      <c r="J122" s="507"/>
      <c r="K122" s="508"/>
      <c r="L122" s="507"/>
      <c r="M122" s="508"/>
      <c r="N122" s="507"/>
      <c r="O122" s="508"/>
      <c r="P122" s="507"/>
      <c r="Q122" s="491"/>
      <c r="R122" s="507"/>
      <c r="S122" s="508"/>
      <c r="T122" s="507"/>
      <c r="U122" s="508"/>
      <c r="V122" s="507"/>
      <c r="W122" s="508"/>
      <c r="X122" s="507"/>
      <c r="Y122" s="508"/>
      <c r="Z122" s="499"/>
      <c r="AA122" s="491"/>
      <c r="AB122" s="499"/>
      <c r="AC122" s="491"/>
      <c r="AD122" s="499"/>
      <c r="AE122" s="491"/>
      <c r="AF122" s="499"/>
      <c r="AG122" s="491"/>
      <c r="AH122" s="499"/>
      <c r="AI122" s="491"/>
      <c r="AJ122" s="499"/>
      <c r="AK122" s="491"/>
      <c r="AL122" s="499"/>
      <c r="AM122" s="508"/>
    </row>
    <row r="123" spans="2:39" s="65" customFormat="1" ht="27" customHeight="1">
      <c r="B123" s="499"/>
      <c r="C123" s="491"/>
      <c r="D123" s="499"/>
      <c r="E123" s="491"/>
      <c r="F123" s="499"/>
      <c r="G123" s="491"/>
      <c r="H123" s="507"/>
      <c r="I123" s="508"/>
      <c r="J123" s="507"/>
      <c r="K123" s="508"/>
      <c r="L123" s="507"/>
      <c r="M123" s="508"/>
      <c r="N123" s="507"/>
      <c r="O123" s="508"/>
      <c r="P123" s="507"/>
      <c r="Q123" s="491"/>
      <c r="R123" s="507"/>
      <c r="S123" s="508"/>
      <c r="T123" s="507"/>
      <c r="U123" s="508"/>
      <c r="V123" s="507"/>
      <c r="W123" s="508"/>
      <c r="X123" s="507"/>
      <c r="Y123" s="508"/>
      <c r="Z123" s="499"/>
      <c r="AA123" s="491"/>
      <c r="AB123" s="499"/>
      <c r="AC123" s="491"/>
      <c r="AD123" s="499"/>
      <c r="AE123" s="491"/>
      <c r="AF123" s="499"/>
      <c r="AG123" s="491"/>
      <c r="AH123" s="499"/>
      <c r="AI123" s="491"/>
      <c r="AJ123" s="499"/>
      <c r="AK123" s="491"/>
      <c r="AL123" s="499"/>
      <c r="AM123" s="508"/>
    </row>
    <row r="124" spans="2:39" s="65" customFormat="1" ht="27" customHeight="1">
      <c r="B124" s="499"/>
      <c r="C124" s="491"/>
      <c r="D124" s="499"/>
      <c r="E124" s="491"/>
      <c r="F124" s="499"/>
      <c r="G124" s="491"/>
      <c r="H124" s="507"/>
      <c r="I124" s="508"/>
      <c r="J124" s="507"/>
      <c r="K124" s="508"/>
      <c r="L124" s="507"/>
      <c r="M124" s="508"/>
      <c r="N124" s="507"/>
      <c r="O124" s="508"/>
      <c r="P124" s="507"/>
      <c r="Q124" s="491"/>
      <c r="R124" s="507"/>
      <c r="S124" s="508"/>
      <c r="T124" s="507"/>
      <c r="U124" s="508"/>
      <c r="V124" s="507"/>
      <c r="W124" s="508"/>
      <c r="X124" s="507"/>
      <c r="Y124" s="508"/>
      <c r="Z124" s="499"/>
      <c r="AA124" s="491"/>
      <c r="AB124" s="499"/>
      <c r="AC124" s="491"/>
      <c r="AD124" s="499"/>
      <c r="AE124" s="491"/>
      <c r="AF124" s="499"/>
      <c r="AG124" s="491"/>
      <c r="AH124" s="499"/>
      <c r="AI124" s="491"/>
      <c r="AJ124" s="499"/>
      <c r="AK124" s="491"/>
      <c r="AL124" s="499"/>
      <c r="AM124" s="508"/>
    </row>
    <row r="125" spans="2:39" s="65" customFormat="1" ht="27" customHeight="1">
      <c r="B125" s="499"/>
      <c r="C125" s="491"/>
      <c r="D125" s="499"/>
      <c r="E125" s="491"/>
      <c r="F125" s="499"/>
      <c r="G125" s="491"/>
      <c r="H125" s="507"/>
      <c r="I125" s="508"/>
      <c r="J125" s="507"/>
      <c r="K125" s="508"/>
      <c r="L125" s="507"/>
      <c r="M125" s="508"/>
      <c r="N125" s="507"/>
      <c r="O125" s="508"/>
      <c r="P125" s="507"/>
      <c r="Q125" s="491"/>
      <c r="R125" s="507"/>
      <c r="S125" s="508"/>
      <c r="T125" s="507"/>
      <c r="U125" s="508"/>
      <c r="V125" s="507"/>
      <c r="W125" s="508"/>
      <c r="X125" s="507"/>
      <c r="Y125" s="508"/>
      <c r="Z125" s="499"/>
      <c r="AA125" s="491"/>
      <c r="AB125" s="499"/>
      <c r="AC125" s="491"/>
      <c r="AD125" s="499"/>
      <c r="AE125" s="491"/>
      <c r="AF125" s="499"/>
      <c r="AG125" s="491"/>
      <c r="AH125" s="499"/>
      <c r="AI125" s="491"/>
      <c r="AJ125" s="499"/>
      <c r="AK125" s="491"/>
      <c r="AL125" s="499"/>
      <c r="AM125" s="508"/>
    </row>
    <row r="126" spans="2:39" s="65" customFormat="1" ht="27" customHeight="1">
      <c r="B126" s="499"/>
      <c r="C126" s="491"/>
      <c r="D126" s="499"/>
      <c r="E126" s="491"/>
      <c r="F126" s="499"/>
      <c r="G126" s="491"/>
      <c r="H126" s="507"/>
      <c r="I126" s="508"/>
      <c r="J126" s="507"/>
      <c r="K126" s="508"/>
      <c r="L126" s="507"/>
      <c r="M126" s="508"/>
      <c r="N126" s="507"/>
      <c r="O126" s="508"/>
      <c r="P126" s="507"/>
      <c r="Q126" s="491"/>
      <c r="R126" s="507"/>
      <c r="S126" s="508"/>
      <c r="T126" s="507"/>
      <c r="U126" s="508"/>
      <c r="V126" s="507"/>
      <c r="W126" s="508"/>
      <c r="X126" s="507"/>
      <c r="Y126" s="508"/>
      <c r="Z126" s="499"/>
      <c r="AA126" s="491"/>
      <c r="AB126" s="499"/>
      <c r="AC126" s="491"/>
      <c r="AD126" s="499"/>
      <c r="AE126" s="491"/>
      <c r="AF126" s="499"/>
      <c r="AG126" s="491"/>
      <c r="AH126" s="499"/>
      <c r="AI126" s="491"/>
      <c r="AJ126" s="499"/>
      <c r="AK126" s="491"/>
      <c r="AL126" s="499"/>
      <c r="AM126" s="508"/>
    </row>
    <row r="127" spans="2:39" s="65" customFormat="1" ht="27" customHeight="1">
      <c r="B127" s="499"/>
      <c r="C127" s="491"/>
      <c r="D127" s="499"/>
      <c r="E127" s="491"/>
      <c r="F127" s="499"/>
      <c r="G127" s="491"/>
      <c r="H127" s="507"/>
      <c r="I127" s="508"/>
      <c r="J127" s="507"/>
      <c r="K127" s="508"/>
      <c r="L127" s="507"/>
      <c r="M127" s="508"/>
      <c r="N127" s="507"/>
      <c r="O127" s="508"/>
      <c r="P127" s="507"/>
      <c r="Q127" s="491"/>
      <c r="R127" s="507"/>
      <c r="S127" s="508"/>
      <c r="T127" s="507"/>
      <c r="U127" s="508"/>
      <c r="V127" s="507"/>
      <c r="W127" s="508"/>
      <c r="X127" s="507"/>
      <c r="Y127" s="508"/>
      <c r="Z127" s="499"/>
      <c r="AA127" s="491"/>
      <c r="AB127" s="499"/>
      <c r="AC127" s="491"/>
      <c r="AD127" s="499"/>
      <c r="AE127" s="491"/>
      <c r="AF127" s="499"/>
      <c r="AG127" s="491"/>
      <c r="AH127" s="499"/>
      <c r="AI127" s="491"/>
      <c r="AJ127" s="499"/>
      <c r="AK127" s="491"/>
      <c r="AL127" s="499"/>
      <c r="AM127" s="508"/>
    </row>
    <row r="128" spans="2:39" s="65" customFormat="1" ht="27" customHeight="1">
      <c r="B128" s="499"/>
      <c r="C128" s="491"/>
      <c r="D128" s="499"/>
      <c r="E128" s="491"/>
      <c r="F128" s="499"/>
      <c r="G128" s="491"/>
      <c r="H128" s="507"/>
      <c r="I128" s="508"/>
      <c r="J128" s="507"/>
      <c r="K128" s="508"/>
      <c r="L128" s="507"/>
      <c r="M128" s="508"/>
      <c r="N128" s="507"/>
      <c r="O128" s="508"/>
      <c r="P128" s="507"/>
      <c r="Q128" s="491"/>
      <c r="R128" s="507"/>
      <c r="S128" s="508"/>
      <c r="T128" s="507"/>
      <c r="U128" s="508"/>
      <c r="V128" s="507"/>
      <c r="W128" s="508"/>
      <c r="X128" s="507"/>
      <c r="Y128" s="508"/>
      <c r="Z128" s="499"/>
      <c r="AA128" s="491"/>
      <c r="AB128" s="499"/>
      <c r="AC128" s="491"/>
      <c r="AD128" s="499"/>
      <c r="AE128" s="491"/>
      <c r="AF128" s="499"/>
      <c r="AG128" s="491"/>
      <c r="AH128" s="499"/>
      <c r="AI128" s="491"/>
      <c r="AJ128" s="499"/>
      <c r="AK128" s="491"/>
      <c r="AL128" s="499"/>
      <c r="AM128" s="508"/>
    </row>
    <row r="129" spans="2:39" s="65" customFormat="1" ht="27" customHeight="1">
      <c r="B129" s="499"/>
      <c r="C129" s="491"/>
      <c r="D129" s="499"/>
      <c r="E129" s="491"/>
      <c r="F129" s="499"/>
      <c r="G129" s="491"/>
      <c r="H129" s="507"/>
      <c r="I129" s="508"/>
      <c r="J129" s="507"/>
      <c r="K129" s="508"/>
      <c r="L129" s="507"/>
      <c r="M129" s="508"/>
      <c r="N129" s="507"/>
      <c r="O129" s="508"/>
      <c r="P129" s="507"/>
      <c r="Q129" s="491"/>
      <c r="R129" s="507"/>
      <c r="S129" s="508"/>
      <c r="T129" s="507"/>
      <c r="U129" s="508"/>
      <c r="V129" s="507"/>
      <c r="W129" s="508"/>
      <c r="X129" s="507"/>
      <c r="Y129" s="508"/>
      <c r="Z129" s="499"/>
      <c r="AA129" s="491"/>
      <c r="AB129" s="499"/>
      <c r="AC129" s="491"/>
      <c r="AD129" s="499"/>
      <c r="AE129" s="491"/>
      <c r="AF129" s="499"/>
      <c r="AG129" s="491"/>
      <c r="AH129" s="499"/>
      <c r="AI129" s="491"/>
      <c r="AJ129" s="499"/>
      <c r="AK129" s="491"/>
      <c r="AL129" s="499"/>
      <c r="AM129" s="508"/>
    </row>
    <row r="130" spans="2:39" s="65" customFormat="1" ht="27" customHeight="1">
      <c r="B130" s="499"/>
      <c r="C130" s="491"/>
      <c r="D130" s="499"/>
      <c r="E130" s="491"/>
      <c r="F130" s="499"/>
      <c r="G130" s="491"/>
      <c r="H130" s="507"/>
      <c r="I130" s="508"/>
      <c r="J130" s="507"/>
      <c r="K130" s="508"/>
      <c r="L130" s="507"/>
      <c r="M130" s="508"/>
      <c r="N130" s="507"/>
      <c r="O130" s="508"/>
      <c r="P130" s="507"/>
      <c r="Q130" s="491"/>
      <c r="R130" s="507"/>
      <c r="S130" s="508"/>
      <c r="T130" s="507"/>
      <c r="U130" s="508"/>
      <c r="V130" s="507"/>
      <c r="W130" s="508"/>
      <c r="X130" s="507"/>
      <c r="Y130" s="508"/>
      <c r="Z130" s="499"/>
      <c r="AA130" s="491"/>
      <c r="AB130" s="499"/>
      <c r="AC130" s="491"/>
      <c r="AD130" s="499"/>
      <c r="AE130" s="491"/>
      <c r="AF130" s="499"/>
      <c r="AG130" s="491"/>
      <c r="AH130" s="499"/>
      <c r="AI130" s="491"/>
      <c r="AJ130" s="499"/>
      <c r="AK130" s="491"/>
      <c r="AL130" s="499"/>
      <c r="AM130" s="508"/>
    </row>
    <row r="131" spans="2:39" s="65" customFormat="1" ht="27" customHeight="1">
      <c r="B131" s="499"/>
      <c r="C131" s="491"/>
      <c r="D131" s="499"/>
      <c r="E131" s="491"/>
      <c r="F131" s="499"/>
      <c r="G131" s="491"/>
      <c r="H131" s="507"/>
      <c r="I131" s="508"/>
      <c r="J131" s="507"/>
      <c r="K131" s="508"/>
      <c r="L131" s="507"/>
      <c r="M131" s="508"/>
      <c r="N131" s="507"/>
      <c r="O131" s="508"/>
      <c r="P131" s="507"/>
      <c r="Q131" s="491"/>
      <c r="R131" s="507"/>
      <c r="S131" s="508"/>
      <c r="T131" s="507"/>
      <c r="U131" s="508"/>
      <c r="V131" s="507"/>
      <c r="W131" s="508"/>
      <c r="X131" s="507"/>
      <c r="Y131" s="508"/>
      <c r="Z131" s="499"/>
      <c r="AA131" s="491"/>
      <c r="AB131" s="499"/>
      <c r="AC131" s="491"/>
      <c r="AD131" s="499"/>
      <c r="AE131" s="491"/>
      <c r="AF131" s="499"/>
      <c r="AG131" s="491"/>
      <c r="AH131" s="499"/>
      <c r="AI131" s="491"/>
      <c r="AJ131" s="499"/>
      <c r="AK131" s="491"/>
      <c r="AL131" s="499"/>
      <c r="AM131" s="508"/>
    </row>
    <row r="132" spans="2:39" s="65" customFormat="1" ht="27" customHeight="1">
      <c r="B132" s="499"/>
      <c r="C132" s="491"/>
      <c r="D132" s="499"/>
      <c r="E132" s="491"/>
      <c r="F132" s="499"/>
      <c r="G132" s="491"/>
      <c r="H132" s="507"/>
      <c r="I132" s="508"/>
      <c r="J132" s="507"/>
      <c r="K132" s="508"/>
      <c r="L132" s="507"/>
      <c r="M132" s="508"/>
      <c r="N132" s="507"/>
      <c r="O132" s="508"/>
      <c r="P132" s="507"/>
      <c r="Q132" s="491"/>
      <c r="R132" s="507"/>
      <c r="S132" s="508"/>
      <c r="T132" s="507"/>
      <c r="U132" s="508"/>
      <c r="V132" s="507"/>
      <c r="W132" s="508"/>
      <c r="X132" s="507"/>
      <c r="Y132" s="508"/>
      <c r="Z132" s="499"/>
      <c r="AA132" s="491"/>
      <c r="AB132" s="499"/>
      <c r="AC132" s="491"/>
      <c r="AD132" s="499"/>
      <c r="AE132" s="491"/>
      <c r="AF132" s="499"/>
      <c r="AG132" s="491"/>
      <c r="AH132" s="499"/>
      <c r="AI132" s="491"/>
      <c r="AJ132" s="499"/>
      <c r="AK132" s="491"/>
      <c r="AL132" s="499"/>
      <c r="AM132" s="508"/>
    </row>
    <row r="133" spans="2:39" s="65" customFormat="1" ht="27" customHeight="1">
      <c r="B133" s="499"/>
      <c r="C133" s="491"/>
      <c r="D133" s="499"/>
      <c r="E133" s="491"/>
      <c r="F133" s="499"/>
      <c r="G133" s="491"/>
      <c r="H133" s="507"/>
      <c r="I133" s="508"/>
      <c r="J133" s="507"/>
      <c r="K133" s="508"/>
      <c r="L133" s="507"/>
      <c r="M133" s="508"/>
      <c r="N133" s="507"/>
      <c r="O133" s="508"/>
      <c r="P133" s="507"/>
      <c r="Q133" s="491"/>
      <c r="R133" s="507"/>
      <c r="S133" s="508"/>
      <c r="T133" s="507"/>
      <c r="U133" s="508"/>
      <c r="V133" s="507"/>
      <c r="W133" s="508"/>
      <c r="X133" s="507"/>
      <c r="Y133" s="508"/>
      <c r="Z133" s="499"/>
      <c r="AA133" s="491"/>
      <c r="AB133" s="499"/>
      <c r="AC133" s="491"/>
      <c r="AD133" s="499"/>
      <c r="AE133" s="491"/>
      <c r="AF133" s="499"/>
      <c r="AG133" s="491"/>
      <c r="AH133" s="499"/>
      <c r="AI133" s="491"/>
      <c r="AJ133" s="499"/>
      <c r="AK133" s="491"/>
      <c r="AL133" s="499"/>
      <c r="AM133" s="508"/>
    </row>
    <row r="134" spans="2:39" s="65" customFormat="1" ht="27" customHeight="1">
      <c r="B134" s="499"/>
      <c r="C134" s="491"/>
      <c r="D134" s="499"/>
      <c r="E134" s="491"/>
      <c r="F134" s="499"/>
      <c r="G134" s="491"/>
      <c r="H134" s="507"/>
      <c r="I134" s="508"/>
      <c r="J134" s="507"/>
      <c r="K134" s="508"/>
      <c r="L134" s="507"/>
      <c r="M134" s="508"/>
      <c r="N134" s="507"/>
      <c r="O134" s="508"/>
      <c r="P134" s="507"/>
      <c r="Q134" s="491"/>
      <c r="R134" s="507"/>
      <c r="S134" s="508"/>
      <c r="T134" s="507"/>
      <c r="U134" s="508"/>
      <c r="V134" s="507"/>
      <c r="W134" s="508"/>
      <c r="X134" s="507"/>
      <c r="Y134" s="508"/>
      <c r="Z134" s="499"/>
      <c r="AA134" s="491"/>
      <c r="AB134" s="499"/>
      <c r="AC134" s="491"/>
      <c r="AD134" s="499"/>
      <c r="AE134" s="491"/>
      <c r="AF134" s="499"/>
      <c r="AG134" s="491"/>
      <c r="AH134" s="499"/>
      <c r="AI134" s="491"/>
      <c r="AJ134" s="499"/>
      <c r="AK134" s="491"/>
      <c r="AL134" s="499"/>
      <c r="AM134" s="508"/>
    </row>
    <row r="135" spans="2:39" s="65" customFormat="1" ht="27" customHeight="1">
      <c r="B135" s="499"/>
      <c r="C135" s="491"/>
      <c r="D135" s="499"/>
      <c r="E135" s="491"/>
      <c r="F135" s="499"/>
      <c r="G135" s="491"/>
      <c r="H135" s="507"/>
      <c r="I135" s="508"/>
      <c r="J135" s="507"/>
      <c r="K135" s="508"/>
      <c r="L135" s="507"/>
      <c r="M135" s="508"/>
      <c r="N135" s="507"/>
      <c r="O135" s="508"/>
      <c r="P135" s="507"/>
      <c r="Q135" s="491"/>
      <c r="R135" s="507"/>
      <c r="S135" s="508"/>
      <c r="T135" s="507"/>
      <c r="U135" s="508"/>
      <c r="V135" s="507"/>
      <c r="W135" s="508"/>
      <c r="X135" s="507"/>
      <c r="Y135" s="508"/>
      <c r="Z135" s="499"/>
      <c r="AA135" s="491"/>
      <c r="AB135" s="499"/>
      <c r="AC135" s="491"/>
      <c r="AD135" s="499"/>
      <c r="AE135" s="491"/>
      <c r="AF135" s="499"/>
      <c r="AG135" s="491"/>
      <c r="AH135" s="499"/>
      <c r="AI135" s="491"/>
      <c r="AJ135" s="499"/>
      <c r="AK135" s="491"/>
      <c r="AL135" s="499"/>
      <c r="AM135" s="508"/>
    </row>
    <row r="136" spans="2:39" s="65" customFormat="1" ht="27" customHeight="1">
      <c r="B136" s="499"/>
      <c r="C136" s="491"/>
      <c r="D136" s="499"/>
      <c r="E136" s="491"/>
      <c r="F136" s="499"/>
      <c r="G136" s="491"/>
      <c r="H136" s="507"/>
      <c r="I136" s="508"/>
      <c r="J136" s="507"/>
      <c r="K136" s="508"/>
      <c r="L136" s="507"/>
      <c r="M136" s="508"/>
      <c r="N136" s="507"/>
      <c r="O136" s="508"/>
      <c r="P136" s="507"/>
      <c r="Q136" s="491"/>
      <c r="R136" s="507"/>
      <c r="S136" s="508"/>
      <c r="T136" s="507"/>
      <c r="U136" s="508"/>
      <c r="V136" s="507"/>
      <c r="W136" s="508"/>
      <c r="X136" s="507"/>
      <c r="Y136" s="508"/>
      <c r="Z136" s="499"/>
      <c r="AA136" s="491"/>
      <c r="AB136" s="499"/>
      <c r="AC136" s="491"/>
      <c r="AD136" s="499"/>
      <c r="AE136" s="491"/>
      <c r="AF136" s="499"/>
      <c r="AG136" s="491"/>
      <c r="AH136" s="499"/>
      <c r="AI136" s="491"/>
      <c r="AJ136" s="499"/>
      <c r="AK136" s="491"/>
      <c r="AL136" s="499"/>
      <c r="AM136" s="508"/>
    </row>
    <row r="137" spans="2:39" s="65" customFormat="1" ht="27" customHeight="1">
      <c r="B137" s="499"/>
      <c r="C137" s="491"/>
      <c r="D137" s="499"/>
      <c r="E137" s="491"/>
      <c r="F137" s="499"/>
      <c r="G137" s="491"/>
      <c r="H137" s="507"/>
      <c r="I137" s="508"/>
      <c r="J137" s="507"/>
      <c r="K137" s="508"/>
      <c r="L137" s="507"/>
      <c r="M137" s="508"/>
      <c r="N137" s="507"/>
      <c r="O137" s="508"/>
      <c r="P137" s="507"/>
      <c r="Q137" s="491"/>
      <c r="R137" s="507"/>
      <c r="S137" s="508"/>
      <c r="T137" s="507"/>
      <c r="U137" s="508"/>
      <c r="V137" s="507"/>
      <c r="W137" s="508"/>
      <c r="X137" s="507"/>
      <c r="Y137" s="508"/>
      <c r="Z137" s="499"/>
      <c r="AA137" s="491"/>
      <c r="AB137" s="499"/>
      <c r="AC137" s="491"/>
      <c r="AD137" s="499"/>
      <c r="AE137" s="491"/>
      <c r="AF137" s="499"/>
      <c r="AG137" s="491"/>
      <c r="AH137" s="499"/>
      <c r="AI137" s="491"/>
      <c r="AJ137" s="499"/>
      <c r="AK137" s="491"/>
      <c r="AL137" s="499"/>
      <c r="AM137" s="508"/>
    </row>
    <row r="138" spans="2:39" s="65" customFormat="1" ht="27" customHeight="1">
      <c r="B138" s="499"/>
      <c r="C138" s="491"/>
      <c r="D138" s="499"/>
      <c r="E138" s="491"/>
      <c r="F138" s="499"/>
      <c r="G138" s="491"/>
      <c r="H138" s="507"/>
      <c r="I138" s="508"/>
      <c r="J138" s="507"/>
      <c r="K138" s="508"/>
      <c r="L138" s="507"/>
      <c r="M138" s="508"/>
      <c r="N138" s="507"/>
      <c r="O138" s="508"/>
      <c r="P138" s="507"/>
      <c r="Q138" s="491"/>
      <c r="R138" s="507"/>
      <c r="S138" s="508"/>
      <c r="T138" s="507"/>
      <c r="U138" s="508"/>
      <c r="V138" s="507"/>
      <c r="W138" s="508"/>
      <c r="X138" s="507"/>
      <c r="Y138" s="508"/>
      <c r="Z138" s="499"/>
      <c r="AA138" s="491"/>
      <c r="AB138" s="499"/>
      <c r="AC138" s="491"/>
      <c r="AD138" s="499"/>
      <c r="AE138" s="491"/>
      <c r="AF138" s="499"/>
      <c r="AG138" s="491"/>
      <c r="AH138" s="499"/>
      <c r="AI138" s="491"/>
      <c r="AJ138" s="499"/>
      <c r="AK138" s="491"/>
      <c r="AL138" s="499"/>
      <c r="AM138" s="508"/>
    </row>
    <row r="139" spans="2:39" s="65" customFormat="1" ht="27" customHeight="1">
      <c r="B139" s="499"/>
      <c r="C139" s="491"/>
      <c r="D139" s="499"/>
      <c r="E139" s="491"/>
      <c r="F139" s="499"/>
      <c r="G139" s="491"/>
      <c r="H139" s="507"/>
      <c r="I139" s="508"/>
      <c r="J139" s="507"/>
      <c r="K139" s="508"/>
      <c r="L139" s="507"/>
      <c r="M139" s="508"/>
      <c r="N139" s="507"/>
      <c r="O139" s="508"/>
      <c r="P139" s="507"/>
      <c r="Q139" s="491"/>
      <c r="R139" s="507"/>
      <c r="S139" s="508"/>
      <c r="T139" s="507"/>
      <c r="U139" s="508"/>
      <c r="V139" s="507"/>
      <c r="W139" s="508"/>
      <c r="X139" s="507"/>
      <c r="Y139" s="508"/>
      <c r="Z139" s="499"/>
      <c r="AA139" s="491"/>
      <c r="AB139" s="499"/>
      <c r="AC139" s="491"/>
      <c r="AD139" s="499"/>
      <c r="AE139" s="491"/>
      <c r="AF139" s="499"/>
      <c r="AG139" s="491"/>
      <c r="AH139" s="499"/>
      <c r="AI139" s="491"/>
      <c r="AJ139" s="499"/>
      <c r="AK139" s="491"/>
      <c r="AL139" s="499"/>
      <c r="AM139" s="508"/>
    </row>
    <row r="140" spans="2:39" s="65" customFormat="1" ht="27" customHeight="1">
      <c r="B140" s="499"/>
      <c r="C140" s="491"/>
      <c r="D140" s="499"/>
      <c r="E140" s="491"/>
      <c r="F140" s="499"/>
      <c r="G140" s="491"/>
      <c r="H140" s="507"/>
      <c r="I140" s="508"/>
      <c r="J140" s="507"/>
      <c r="K140" s="508"/>
      <c r="L140" s="507"/>
      <c r="M140" s="508"/>
      <c r="N140" s="507"/>
      <c r="O140" s="508"/>
      <c r="P140" s="507"/>
      <c r="Q140" s="491"/>
      <c r="R140" s="507"/>
      <c r="S140" s="508"/>
      <c r="T140" s="507"/>
      <c r="U140" s="508"/>
      <c r="V140" s="507"/>
      <c r="W140" s="508"/>
      <c r="X140" s="507"/>
      <c r="Y140" s="508"/>
      <c r="Z140" s="499"/>
      <c r="AA140" s="491"/>
      <c r="AB140" s="499"/>
      <c r="AC140" s="491"/>
      <c r="AD140" s="499"/>
      <c r="AE140" s="491"/>
      <c r="AF140" s="499"/>
      <c r="AG140" s="491"/>
      <c r="AH140" s="499"/>
      <c r="AI140" s="491"/>
      <c r="AJ140" s="499"/>
      <c r="AK140" s="491"/>
      <c r="AL140" s="499"/>
      <c r="AM140" s="508"/>
    </row>
    <row r="141" spans="2:39" s="65" customFormat="1" ht="27" customHeight="1">
      <c r="B141" s="499"/>
      <c r="C141" s="491"/>
      <c r="D141" s="499"/>
      <c r="E141" s="491"/>
      <c r="F141" s="499"/>
      <c r="G141" s="491"/>
      <c r="H141" s="507"/>
      <c r="I141" s="508"/>
      <c r="J141" s="507"/>
      <c r="K141" s="508"/>
      <c r="L141" s="507"/>
      <c r="M141" s="508"/>
      <c r="N141" s="507"/>
      <c r="O141" s="508"/>
      <c r="P141" s="507"/>
      <c r="Q141" s="491"/>
      <c r="R141" s="507"/>
      <c r="S141" s="508"/>
      <c r="T141" s="507"/>
      <c r="U141" s="508"/>
      <c r="V141" s="507"/>
      <c r="W141" s="508"/>
      <c r="X141" s="507"/>
      <c r="Y141" s="508"/>
      <c r="Z141" s="499"/>
      <c r="AA141" s="491"/>
      <c r="AB141" s="499"/>
      <c r="AC141" s="491"/>
      <c r="AD141" s="499"/>
      <c r="AE141" s="491"/>
      <c r="AF141" s="499"/>
      <c r="AG141" s="491"/>
      <c r="AH141" s="499"/>
      <c r="AI141" s="491"/>
      <c r="AJ141" s="499"/>
      <c r="AK141" s="491"/>
      <c r="AL141" s="499"/>
      <c r="AM141" s="508"/>
    </row>
    <row r="142" spans="2:39" s="65" customFormat="1" ht="27" customHeight="1">
      <c r="B142" s="499"/>
      <c r="C142" s="491"/>
      <c r="D142" s="499"/>
      <c r="E142" s="491"/>
      <c r="F142" s="499"/>
      <c r="G142" s="491"/>
      <c r="H142" s="507"/>
      <c r="I142" s="508"/>
      <c r="J142" s="507"/>
      <c r="K142" s="508"/>
      <c r="L142" s="507"/>
      <c r="M142" s="508"/>
      <c r="N142" s="507"/>
      <c r="O142" s="508"/>
      <c r="P142" s="507"/>
      <c r="Q142" s="491"/>
      <c r="R142" s="507"/>
      <c r="S142" s="508"/>
      <c r="T142" s="507"/>
      <c r="U142" s="508"/>
      <c r="V142" s="507"/>
      <c r="W142" s="508"/>
      <c r="X142" s="507"/>
      <c r="Y142" s="508"/>
      <c r="Z142" s="499"/>
      <c r="AA142" s="491"/>
      <c r="AB142" s="499"/>
      <c r="AC142" s="491"/>
      <c r="AD142" s="499"/>
      <c r="AE142" s="491"/>
      <c r="AF142" s="499"/>
      <c r="AG142" s="491"/>
      <c r="AH142" s="499"/>
      <c r="AI142" s="491"/>
      <c r="AJ142" s="499"/>
      <c r="AK142" s="491"/>
      <c r="AL142" s="499"/>
      <c r="AM142" s="508"/>
    </row>
    <row r="143" spans="2:39" s="65" customFormat="1" ht="27" customHeight="1">
      <c r="B143" s="499"/>
      <c r="C143" s="491"/>
      <c r="D143" s="499"/>
      <c r="E143" s="491"/>
      <c r="F143" s="499"/>
      <c r="G143" s="491"/>
      <c r="H143" s="507"/>
      <c r="I143" s="508"/>
      <c r="J143" s="507"/>
      <c r="K143" s="508"/>
      <c r="L143" s="507"/>
      <c r="M143" s="508"/>
      <c r="N143" s="507"/>
      <c r="O143" s="508"/>
      <c r="P143" s="507"/>
      <c r="Q143" s="491"/>
      <c r="R143" s="507"/>
      <c r="S143" s="508"/>
      <c r="T143" s="507"/>
      <c r="U143" s="508"/>
      <c r="V143" s="507"/>
      <c r="W143" s="508"/>
      <c r="X143" s="507"/>
      <c r="Y143" s="508"/>
      <c r="Z143" s="499"/>
      <c r="AA143" s="491"/>
      <c r="AB143" s="499"/>
      <c r="AC143" s="491"/>
      <c r="AD143" s="499"/>
      <c r="AE143" s="491"/>
      <c r="AF143" s="499"/>
      <c r="AG143" s="491"/>
      <c r="AH143" s="499"/>
      <c r="AI143" s="491"/>
      <c r="AJ143" s="499"/>
      <c r="AK143" s="491"/>
      <c r="AL143" s="499"/>
      <c r="AM143" s="508"/>
    </row>
    <row r="144" spans="2:39" s="65" customFormat="1" ht="27" customHeight="1">
      <c r="B144" s="499"/>
      <c r="C144" s="491"/>
      <c r="D144" s="499"/>
      <c r="E144" s="491"/>
      <c r="F144" s="499"/>
      <c r="G144" s="491"/>
      <c r="H144" s="507"/>
      <c r="I144" s="508"/>
      <c r="J144" s="507"/>
      <c r="K144" s="508"/>
      <c r="L144" s="507"/>
      <c r="M144" s="508"/>
      <c r="N144" s="507"/>
      <c r="O144" s="508"/>
      <c r="P144" s="507"/>
      <c r="Q144" s="491"/>
      <c r="R144" s="507"/>
      <c r="S144" s="508"/>
      <c r="T144" s="507"/>
      <c r="U144" s="508"/>
      <c r="V144" s="507"/>
      <c r="W144" s="508"/>
      <c r="X144" s="507"/>
      <c r="Y144" s="508"/>
      <c r="Z144" s="499"/>
      <c r="AA144" s="491"/>
      <c r="AB144" s="499"/>
      <c r="AC144" s="491"/>
      <c r="AD144" s="499"/>
      <c r="AE144" s="491"/>
      <c r="AF144" s="499"/>
      <c r="AG144" s="491"/>
      <c r="AH144" s="499"/>
      <c r="AI144" s="491"/>
      <c r="AJ144" s="499"/>
      <c r="AK144" s="491"/>
      <c r="AL144" s="499"/>
      <c r="AM144" s="508"/>
    </row>
    <row r="145" spans="2:39" s="65" customFormat="1" ht="27" customHeight="1">
      <c r="B145" s="499"/>
      <c r="C145" s="491"/>
      <c r="D145" s="499"/>
      <c r="E145" s="491"/>
      <c r="F145" s="499"/>
      <c r="G145" s="491"/>
      <c r="H145" s="507"/>
      <c r="I145" s="508"/>
      <c r="J145" s="507"/>
      <c r="K145" s="508"/>
      <c r="L145" s="507"/>
      <c r="M145" s="508"/>
      <c r="N145" s="507"/>
      <c r="O145" s="508"/>
      <c r="P145" s="507"/>
      <c r="Q145" s="491"/>
      <c r="R145" s="507"/>
      <c r="S145" s="508"/>
      <c r="T145" s="507"/>
      <c r="U145" s="508"/>
      <c r="V145" s="507"/>
      <c r="W145" s="508"/>
      <c r="X145" s="507"/>
      <c r="Y145" s="508"/>
      <c r="Z145" s="499"/>
      <c r="AA145" s="491"/>
      <c r="AB145" s="499"/>
      <c r="AC145" s="491"/>
      <c r="AD145" s="499"/>
      <c r="AE145" s="491"/>
      <c r="AF145" s="499"/>
      <c r="AG145" s="491"/>
      <c r="AH145" s="499"/>
      <c r="AI145" s="491"/>
      <c r="AJ145" s="499"/>
      <c r="AK145" s="491"/>
      <c r="AL145" s="499"/>
      <c r="AM145" s="508"/>
    </row>
    <row r="146" spans="2:39" s="65" customFormat="1" ht="27" customHeight="1">
      <c r="B146" s="499"/>
      <c r="C146" s="491"/>
      <c r="D146" s="499"/>
      <c r="E146" s="491"/>
      <c r="F146" s="499"/>
      <c r="G146" s="491"/>
      <c r="H146" s="507"/>
      <c r="I146" s="508"/>
      <c r="J146" s="507"/>
      <c r="K146" s="508"/>
      <c r="L146" s="507"/>
      <c r="M146" s="508"/>
      <c r="N146" s="507"/>
      <c r="O146" s="508"/>
      <c r="P146" s="507"/>
      <c r="Q146" s="491"/>
      <c r="R146" s="507"/>
      <c r="S146" s="508"/>
      <c r="T146" s="507"/>
      <c r="U146" s="508"/>
      <c r="V146" s="507"/>
      <c r="W146" s="508"/>
      <c r="X146" s="507"/>
      <c r="Y146" s="508"/>
      <c r="Z146" s="499"/>
      <c r="AA146" s="491"/>
      <c r="AB146" s="499"/>
      <c r="AC146" s="491"/>
      <c r="AD146" s="499"/>
      <c r="AE146" s="491"/>
      <c r="AF146" s="499"/>
      <c r="AG146" s="491"/>
      <c r="AH146" s="499"/>
      <c r="AI146" s="491"/>
      <c r="AJ146" s="499"/>
      <c r="AK146" s="491"/>
      <c r="AL146" s="499"/>
      <c r="AM146" s="508"/>
    </row>
    <row r="147" spans="2:39" s="65" customFormat="1" ht="12.75">
      <c r="B147" s="499"/>
      <c r="C147" s="491"/>
      <c r="D147" s="499"/>
      <c r="E147" s="491"/>
      <c r="F147" s="499"/>
      <c r="G147" s="491"/>
      <c r="H147" s="507"/>
      <c r="I147" s="508"/>
      <c r="J147" s="507"/>
      <c r="K147" s="508"/>
      <c r="L147" s="507"/>
      <c r="M147" s="508"/>
      <c r="N147" s="507"/>
      <c r="O147" s="508"/>
      <c r="P147" s="507"/>
      <c r="Q147" s="491"/>
      <c r="R147" s="507"/>
      <c r="S147" s="508"/>
      <c r="T147" s="507"/>
      <c r="U147" s="508"/>
      <c r="V147" s="507"/>
      <c r="W147" s="508"/>
      <c r="X147" s="507"/>
      <c r="Y147" s="508"/>
      <c r="Z147" s="499"/>
      <c r="AA147" s="491"/>
      <c r="AB147" s="499"/>
      <c r="AC147" s="491"/>
      <c r="AD147" s="499"/>
      <c r="AE147" s="491"/>
      <c r="AF147" s="499"/>
      <c r="AG147" s="491"/>
      <c r="AH147" s="499"/>
      <c r="AI147" s="491"/>
      <c r="AJ147" s="499"/>
      <c r="AK147" s="491"/>
      <c r="AL147" s="499"/>
      <c r="AM147" s="508"/>
    </row>
    <row r="148" spans="2:39" s="65" customFormat="1" ht="12.75">
      <c r="B148" s="499"/>
      <c r="C148" s="491"/>
      <c r="D148" s="499"/>
      <c r="E148" s="491"/>
      <c r="F148" s="499"/>
      <c r="G148" s="491"/>
      <c r="H148" s="507"/>
      <c r="I148" s="508"/>
      <c r="J148" s="507"/>
      <c r="K148" s="508"/>
      <c r="L148" s="507"/>
      <c r="M148" s="508"/>
      <c r="N148" s="507"/>
      <c r="O148" s="508"/>
      <c r="P148" s="507"/>
      <c r="Q148" s="491"/>
      <c r="R148" s="507"/>
      <c r="S148" s="508"/>
      <c r="T148" s="507"/>
      <c r="U148" s="508"/>
      <c r="V148" s="507"/>
      <c r="W148" s="508"/>
      <c r="X148" s="507"/>
      <c r="Y148" s="508"/>
      <c r="Z148" s="499"/>
      <c r="AA148" s="491"/>
      <c r="AB148" s="499"/>
      <c r="AC148" s="491"/>
      <c r="AD148" s="499"/>
      <c r="AE148" s="491"/>
      <c r="AF148" s="499"/>
      <c r="AG148" s="491"/>
      <c r="AH148" s="499"/>
      <c r="AI148" s="491"/>
      <c r="AJ148" s="499"/>
      <c r="AK148" s="491"/>
      <c r="AL148" s="499"/>
      <c r="AM148" s="508"/>
    </row>
    <row r="149" spans="2:39" s="65" customFormat="1" ht="12.75">
      <c r="B149" s="499"/>
      <c r="C149" s="491"/>
      <c r="D149" s="499"/>
      <c r="E149" s="491"/>
      <c r="F149" s="499"/>
      <c r="G149" s="491"/>
      <c r="H149" s="507"/>
      <c r="I149" s="508"/>
      <c r="J149" s="507"/>
      <c r="K149" s="508"/>
      <c r="L149" s="507"/>
      <c r="M149" s="508"/>
      <c r="N149" s="507"/>
      <c r="O149" s="508"/>
      <c r="P149" s="507"/>
      <c r="Q149" s="491"/>
      <c r="R149" s="507"/>
      <c r="S149" s="508"/>
      <c r="T149" s="507"/>
      <c r="U149" s="508"/>
      <c r="V149" s="507"/>
      <c r="W149" s="508"/>
      <c r="X149" s="507"/>
      <c r="Y149" s="508"/>
      <c r="Z149" s="499"/>
      <c r="AA149" s="491"/>
      <c r="AB149" s="499"/>
      <c r="AC149" s="491"/>
      <c r="AD149" s="499"/>
      <c r="AE149" s="491"/>
      <c r="AF149" s="499"/>
      <c r="AG149" s="491"/>
      <c r="AH149" s="499"/>
      <c r="AI149" s="491"/>
      <c r="AJ149" s="499"/>
      <c r="AK149" s="491"/>
      <c r="AL149" s="499"/>
      <c r="AM149" s="508"/>
    </row>
    <row r="150" spans="2:39" s="65" customFormat="1" ht="12.75">
      <c r="B150" s="499"/>
      <c r="C150" s="491"/>
      <c r="D150" s="499"/>
      <c r="E150" s="491"/>
      <c r="F150" s="499"/>
      <c r="G150" s="491"/>
      <c r="H150" s="507"/>
      <c r="I150" s="508"/>
      <c r="J150" s="507"/>
      <c r="K150" s="508"/>
      <c r="L150" s="507"/>
      <c r="M150" s="508"/>
      <c r="N150" s="507"/>
      <c r="O150" s="508"/>
      <c r="P150" s="507"/>
      <c r="Q150" s="491"/>
      <c r="R150" s="507"/>
      <c r="S150" s="508"/>
      <c r="T150" s="507"/>
      <c r="U150" s="508"/>
      <c r="V150" s="507"/>
      <c r="W150" s="508"/>
      <c r="X150" s="507"/>
      <c r="Y150" s="508"/>
      <c r="Z150" s="499"/>
      <c r="AA150" s="491"/>
      <c r="AB150" s="499"/>
      <c r="AC150" s="491"/>
      <c r="AD150" s="499"/>
      <c r="AE150" s="491"/>
      <c r="AF150" s="499"/>
      <c r="AG150" s="491"/>
      <c r="AH150" s="499"/>
      <c r="AI150" s="491"/>
      <c r="AJ150" s="499"/>
      <c r="AK150" s="491"/>
      <c r="AL150" s="499"/>
      <c r="AM150" s="508"/>
    </row>
    <row r="151" spans="2:39" s="65" customFormat="1" ht="12.75">
      <c r="B151" s="499"/>
      <c r="C151" s="491"/>
      <c r="D151" s="499"/>
      <c r="E151" s="491"/>
      <c r="F151" s="499"/>
      <c r="G151" s="491"/>
      <c r="H151" s="507"/>
      <c r="I151" s="508"/>
      <c r="J151" s="507"/>
      <c r="K151" s="508"/>
      <c r="L151" s="507"/>
      <c r="M151" s="508"/>
      <c r="N151" s="507"/>
      <c r="O151" s="508"/>
      <c r="P151" s="507"/>
      <c r="Q151" s="491"/>
      <c r="R151" s="507"/>
      <c r="S151" s="508"/>
      <c r="T151" s="507"/>
      <c r="U151" s="508"/>
      <c r="V151" s="507"/>
      <c r="W151" s="508"/>
      <c r="X151" s="507"/>
      <c r="Y151" s="508"/>
      <c r="Z151" s="499"/>
      <c r="AA151" s="491"/>
      <c r="AB151" s="499"/>
      <c r="AC151" s="491"/>
      <c r="AD151" s="499"/>
      <c r="AE151" s="491"/>
      <c r="AF151" s="499"/>
      <c r="AG151" s="491"/>
      <c r="AH151" s="499"/>
      <c r="AI151" s="491"/>
      <c r="AJ151" s="499"/>
      <c r="AK151" s="491"/>
      <c r="AL151" s="499"/>
      <c r="AM151" s="508"/>
    </row>
    <row r="152" spans="1:11" ht="21.75">
      <c r="A152" s="73"/>
      <c r="B152" s="500"/>
      <c r="C152" s="495"/>
      <c r="D152" s="502"/>
      <c r="E152" s="495"/>
      <c r="F152" s="502"/>
      <c r="G152" s="495"/>
      <c r="J152" s="510"/>
      <c r="K152" s="511"/>
    </row>
  </sheetData>
  <sheetProtection/>
  <mergeCells count="20">
    <mergeCell ref="AF1:AG1"/>
    <mergeCell ref="AH1:AI1"/>
    <mergeCell ref="AJ1:AK1"/>
    <mergeCell ref="AL1:AM1"/>
    <mergeCell ref="X1:Y1"/>
    <mergeCell ref="Z1:AA1"/>
    <mergeCell ref="AB1:AC1"/>
    <mergeCell ref="AD1:AE1"/>
    <mergeCell ref="R1:S1"/>
    <mergeCell ref="T1:U1"/>
    <mergeCell ref="H1:I1"/>
    <mergeCell ref="J1:K1"/>
    <mergeCell ref="L1:M1"/>
    <mergeCell ref="V1:W1"/>
    <mergeCell ref="A1:A2"/>
    <mergeCell ref="B1:C1"/>
    <mergeCell ref="D1:E1"/>
    <mergeCell ref="F1:G1"/>
    <mergeCell ref="N1:O1"/>
    <mergeCell ref="P1:Q1"/>
  </mergeCells>
  <printOptions/>
  <pageMargins left="0" right="0" top="0.7480314960629921" bottom="0.2362204724409449" header="0.5118110236220472" footer="0.5118110236220472"/>
  <pageSetup horizontalDpi="600" verticalDpi="600" orientation="landscape" paperSize="9" r:id="rId1"/>
  <headerFooter alignWithMargins="0">
    <oddHeader>&amp;Lตารางที่ 2 : มูลค่าการให้ความช่วยเหลือทางวิชาการรายปร้เทศ แยกตามสาขา ประจำปี 2555                                   (&amp;7หน่วย : จำนวน = คน มูลค่า = พันบาท)&amp;10
</oddHeader>
  </headerFooter>
</worksheet>
</file>

<file path=xl/worksheets/sheet3.xml><?xml version="1.0" encoding="utf-8"?>
<worksheet xmlns="http://schemas.openxmlformats.org/spreadsheetml/2006/main" xmlns:r="http://schemas.openxmlformats.org/officeDocument/2006/relationships">
  <sheetPr>
    <tabColor indexed="45"/>
  </sheetPr>
  <dimension ref="A1:X101"/>
  <sheetViews>
    <sheetView zoomScale="120" zoomScaleNormal="120" zoomScalePageLayoutView="0" workbookViewId="0" topLeftCell="A1">
      <pane xSplit="1" ySplit="5" topLeftCell="B63" activePane="bottomRight" state="frozen"/>
      <selection pane="topLeft" activeCell="A1" sqref="A1"/>
      <selection pane="topRight" activeCell="B1" sqref="B1"/>
      <selection pane="bottomLeft" activeCell="A6" sqref="A6"/>
      <selection pane="bottomRight" activeCell="A64" sqref="A64"/>
    </sheetView>
  </sheetViews>
  <sheetFormatPr defaultColWidth="10.57421875" defaultRowHeight="12.75"/>
  <cols>
    <col min="1" max="1" width="19.140625" style="40" customWidth="1"/>
    <col min="2" max="2" width="4.8515625" style="35" customWidth="1"/>
    <col min="3" max="3" width="8.7109375" style="418" customWidth="1"/>
    <col min="4" max="4" width="5.00390625" style="36" customWidth="1"/>
    <col min="5" max="5" width="8.57421875" style="418" customWidth="1"/>
    <col min="6" max="6" width="5.00390625" style="418" customWidth="1"/>
    <col min="7" max="7" width="8.8515625" style="418" customWidth="1"/>
    <col min="8" max="8" width="4.140625" style="35" customWidth="1"/>
    <col min="9" max="9" width="8.57421875" style="418" customWidth="1"/>
    <col min="10" max="10" width="4.8515625" style="37" customWidth="1"/>
    <col min="11" max="11" width="8.7109375" style="418" customWidth="1"/>
    <col min="12" max="12" width="8.00390625" style="418" customWidth="1"/>
    <col min="13" max="13" width="8.7109375" style="418" customWidth="1"/>
    <col min="14" max="14" width="4.140625" style="35" customWidth="1"/>
    <col min="15" max="15" width="6.7109375" style="36" customWidth="1"/>
    <col min="16" max="16" width="8.00390625" style="86" customWidth="1"/>
    <col min="17" max="17" width="6.28125" style="35" customWidth="1"/>
    <col min="18" max="18" width="5.8515625" style="36" customWidth="1"/>
    <col min="19" max="19" width="8.7109375" style="418" customWidth="1"/>
    <col min="20" max="20" width="15.57421875" style="40" customWidth="1"/>
    <col min="21" max="21" width="9.57421875" style="135" customWidth="1"/>
    <col min="22" max="24" width="10.57421875" style="135" customWidth="1"/>
    <col min="25" max="16384" width="10.57421875" style="40" customWidth="1"/>
  </cols>
  <sheetData>
    <row r="1" spans="1:19" ht="18.75" customHeight="1" thickBot="1">
      <c r="A1" s="34" t="s">
        <v>508</v>
      </c>
      <c r="Q1" s="38"/>
      <c r="R1" s="38"/>
      <c r="S1" s="344" t="s">
        <v>0</v>
      </c>
    </row>
    <row r="2" spans="1:24" s="41" customFormat="1" ht="17.25" customHeight="1">
      <c r="A2" s="1139" t="s">
        <v>473</v>
      </c>
      <c r="B2" s="1144" t="s">
        <v>509</v>
      </c>
      <c r="C2" s="1145"/>
      <c r="D2" s="1145"/>
      <c r="E2" s="1146"/>
      <c r="F2" s="1158" t="s">
        <v>510</v>
      </c>
      <c r="G2" s="1159"/>
      <c r="H2" s="1159"/>
      <c r="I2" s="1159"/>
      <c r="J2" s="1159"/>
      <c r="K2" s="1159"/>
      <c r="L2" s="1159"/>
      <c r="M2" s="1160"/>
      <c r="N2" s="1154" t="s">
        <v>511</v>
      </c>
      <c r="O2" s="1155"/>
      <c r="P2" s="1148" t="s">
        <v>512</v>
      </c>
      <c r="Q2" s="1150" t="s">
        <v>513</v>
      </c>
      <c r="R2" s="1152" t="s">
        <v>481</v>
      </c>
      <c r="S2" s="1152"/>
      <c r="U2" s="42"/>
      <c r="V2" s="42"/>
      <c r="W2" s="42"/>
      <c r="X2" s="42"/>
    </row>
    <row r="3" spans="1:24" s="41" customFormat="1" ht="42">
      <c r="A3" s="1140"/>
      <c r="B3" s="1142" t="s">
        <v>514</v>
      </c>
      <c r="C3" s="1143"/>
      <c r="D3" s="1143" t="s">
        <v>515</v>
      </c>
      <c r="E3" s="1147"/>
      <c r="F3" s="1142" t="s">
        <v>514</v>
      </c>
      <c r="G3" s="1143"/>
      <c r="H3" s="1143" t="s">
        <v>515</v>
      </c>
      <c r="I3" s="1147"/>
      <c r="J3" s="1161" t="s">
        <v>516</v>
      </c>
      <c r="K3" s="1162"/>
      <c r="L3" s="1088" t="s">
        <v>517</v>
      </c>
      <c r="M3" s="562" t="s">
        <v>513</v>
      </c>
      <c r="N3" s="1156"/>
      <c r="O3" s="1157"/>
      <c r="P3" s="1149"/>
      <c r="Q3" s="1151"/>
      <c r="R3" s="1153"/>
      <c r="S3" s="1153"/>
      <c r="U3" s="42"/>
      <c r="V3" s="42"/>
      <c r="W3" s="42"/>
      <c r="X3" s="42"/>
    </row>
    <row r="4" spans="1:24" s="43" customFormat="1" ht="15.75" customHeight="1" thickBot="1">
      <c r="A4" s="1141"/>
      <c r="B4" s="1089" t="s">
        <v>474</v>
      </c>
      <c r="C4" s="1090" t="s">
        <v>475</v>
      </c>
      <c r="D4" s="1089" t="s">
        <v>474</v>
      </c>
      <c r="E4" s="1090" t="s">
        <v>475</v>
      </c>
      <c r="F4" s="1089" t="s">
        <v>474</v>
      </c>
      <c r="G4" s="1090" t="s">
        <v>475</v>
      </c>
      <c r="H4" s="1091" t="s">
        <v>474</v>
      </c>
      <c r="I4" s="1092" t="s">
        <v>475</v>
      </c>
      <c r="J4" s="1089" t="s">
        <v>474</v>
      </c>
      <c r="K4" s="1090" t="s">
        <v>475</v>
      </c>
      <c r="L4" s="1091" t="s">
        <v>474</v>
      </c>
      <c r="M4" s="1090" t="s">
        <v>475</v>
      </c>
      <c r="N4" s="1089" t="s">
        <v>474</v>
      </c>
      <c r="O4" s="1090" t="s">
        <v>475</v>
      </c>
      <c r="P4" s="1089" t="s">
        <v>474</v>
      </c>
      <c r="Q4" s="1090" t="s">
        <v>475</v>
      </c>
      <c r="R4" s="1089" t="s">
        <v>490</v>
      </c>
      <c r="S4" s="1090" t="s">
        <v>475</v>
      </c>
      <c r="U4" s="42"/>
      <c r="V4" s="42"/>
      <c r="W4" s="42"/>
      <c r="X4" s="42"/>
    </row>
    <row r="5" spans="1:19" ht="18" customHeight="1">
      <c r="A5" s="520" t="s">
        <v>480</v>
      </c>
      <c r="B5" s="564"/>
      <c r="C5" s="565"/>
      <c r="D5" s="566"/>
      <c r="E5" s="567"/>
      <c r="F5" s="1093"/>
      <c r="G5" s="568"/>
      <c r="H5" s="569"/>
      <c r="I5" s="570"/>
      <c r="J5" s="1093"/>
      <c r="K5" s="568"/>
      <c r="L5" s="568"/>
      <c r="M5" s="570"/>
      <c r="N5" s="564"/>
      <c r="O5" s="566"/>
      <c r="P5" s="571"/>
      <c r="Q5" s="572"/>
      <c r="R5" s="573"/>
      <c r="S5" s="574"/>
    </row>
    <row r="6" spans="1:21" ht="17.25" customHeight="1">
      <c r="A6" s="44" t="s">
        <v>2</v>
      </c>
      <c r="B6" s="425">
        <v>88</v>
      </c>
      <c r="C6" s="50">
        <v>7117.1</v>
      </c>
      <c r="D6" s="50">
        <v>10</v>
      </c>
      <c r="E6" s="799">
        <v>2080.5</v>
      </c>
      <c r="F6" s="425">
        <f>ApV!D28</f>
        <v>11</v>
      </c>
      <c r="G6" s="441">
        <f>ApV!E28</f>
        <v>482.9000000000001</v>
      </c>
      <c r="H6" s="50">
        <f>ApV!F28</f>
        <v>0</v>
      </c>
      <c r="I6" s="448">
        <f>ApV!G28</f>
        <v>314.93000000000006</v>
      </c>
      <c r="J6" s="425">
        <f>ApV!H28</f>
        <v>12</v>
      </c>
      <c r="K6" s="441">
        <f>ApV!I28</f>
        <v>553.2</v>
      </c>
      <c r="L6" s="441">
        <f>ApV!J28</f>
        <v>1241.4</v>
      </c>
      <c r="M6" s="448">
        <f>ApV!K28</f>
        <v>26268.9</v>
      </c>
      <c r="N6" s="425"/>
      <c r="O6" s="441"/>
      <c r="P6" s="441" t="s">
        <v>3</v>
      </c>
      <c r="Q6" s="448"/>
      <c r="R6" s="51">
        <f>SUM(B6,H6,D6,F6)</f>
        <v>109</v>
      </c>
      <c r="S6" s="800">
        <f>SUM(C6,E6,G6,I6,K6,L6,M6,O6,P6,Q6)</f>
        <v>38058.93</v>
      </c>
      <c r="T6" s="136"/>
      <c r="U6" s="136"/>
    </row>
    <row r="7" spans="1:22" ht="17.25" customHeight="1">
      <c r="A7" s="44" t="s">
        <v>4</v>
      </c>
      <c r="B7" s="425">
        <v>152</v>
      </c>
      <c r="C7" s="804">
        <v>13532.8</v>
      </c>
      <c r="D7" s="50">
        <v>45</v>
      </c>
      <c r="E7" s="799">
        <v>20433.8</v>
      </c>
      <c r="F7" s="425">
        <f>ApV!D59</f>
        <v>325</v>
      </c>
      <c r="G7" s="441">
        <f>ApV!E59</f>
        <v>19603.399999999998</v>
      </c>
      <c r="H7" s="50">
        <f>ApV!F59</f>
        <v>51</v>
      </c>
      <c r="I7" s="448">
        <f>ApV!G59</f>
        <v>8089.169999999999</v>
      </c>
      <c r="J7" s="425">
        <f>ApV!H59</f>
        <v>74</v>
      </c>
      <c r="K7" s="441">
        <f>ApV!I59</f>
        <v>4668.3</v>
      </c>
      <c r="L7" s="441">
        <f>ApV!J59</f>
        <v>14740.000000000002</v>
      </c>
      <c r="M7" s="448">
        <f>ApV!K59</f>
        <v>1498.5</v>
      </c>
      <c r="N7" s="425"/>
      <c r="O7" s="441"/>
      <c r="P7" s="441" t="s">
        <v>3</v>
      </c>
      <c r="Q7" s="448"/>
      <c r="R7" s="51">
        <f>SUM(B7,H7,D7,F7)</f>
        <v>573</v>
      </c>
      <c r="S7" s="800">
        <f>SUM(C7,E7,G7,I7,K7,L7,M7,O7,P7,Q7)</f>
        <v>82565.97</v>
      </c>
      <c r="T7" s="136"/>
      <c r="U7" s="136"/>
      <c r="V7" s="45"/>
    </row>
    <row r="8" spans="1:21" ht="17.25" customHeight="1">
      <c r="A8" s="44" t="s">
        <v>5</v>
      </c>
      <c r="B8" s="425">
        <v>19</v>
      </c>
      <c r="C8" s="804">
        <v>931.2</v>
      </c>
      <c r="D8" s="50">
        <v>8</v>
      </c>
      <c r="E8" s="799">
        <v>4116.8</v>
      </c>
      <c r="F8" s="425">
        <f>ApV!D76</f>
        <v>16</v>
      </c>
      <c r="G8" s="441">
        <f>ApV!E76</f>
        <v>869.3</v>
      </c>
      <c r="H8" s="50">
        <f>ApV!F76</f>
        <v>2</v>
      </c>
      <c r="I8" s="448">
        <f>ApV!G76</f>
        <v>593.2</v>
      </c>
      <c r="J8" s="425">
        <f>ApV!H76</f>
        <v>14</v>
      </c>
      <c r="K8" s="441">
        <f>ApV!I76</f>
        <v>865.2</v>
      </c>
      <c r="L8" s="441">
        <f>ApV!J76</f>
        <v>601.9</v>
      </c>
      <c r="M8" s="448">
        <f>ApV!K76</f>
        <v>13612.599999999999</v>
      </c>
      <c r="N8" s="425"/>
      <c r="O8" s="441"/>
      <c r="P8" s="441"/>
      <c r="Q8" s="448"/>
      <c r="R8" s="51">
        <f>SUM(B8,H8,D8,F8)</f>
        <v>45</v>
      </c>
      <c r="S8" s="800">
        <f>SUM(C8,E8,G8,I8,K8,L8,M8,O8,P8,Q8)</f>
        <v>21590.199999999997</v>
      </c>
      <c r="T8" s="136"/>
      <c r="U8" s="46"/>
    </row>
    <row r="9" spans="1:24" s="263" customFormat="1" ht="17.25" customHeight="1">
      <c r="A9" s="49" t="s">
        <v>6</v>
      </c>
      <c r="B9" s="426">
        <v>48</v>
      </c>
      <c r="C9" s="805">
        <v>4834.1</v>
      </c>
      <c r="D9" s="420" t="s">
        <v>3</v>
      </c>
      <c r="E9" s="429" t="s">
        <v>3</v>
      </c>
      <c r="F9" s="426">
        <f>ApV!D104</f>
        <v>0</v>
      </c>
      <c r="G9" s="276">
        <f>ApV!E104</f>
        <v>0</v>
      </c>
      <c r="H9" s="276">
        <f>ApV!F104</f>
        <v>3</v>
      </c>
      <c r="I9" s="781">
        <f>ApV!G104</f>
        <v>1670.5</v>
      </c>
      <c r="J9" s="426">
        <f>ApV!H104</f>
        <v>5</v>
      </c>
      <c r="K9" s="442">
        <f>ApV!I104</f>
        <v>260.3</v>
      </c>
      <c r="L9" s="276">
        <f>ApV!J104</f>
        <v>0</v>
      </c>
      <c r="M9" s="450">
        <f>ApV!K104</f>
        <v>0</v>
      </c>
      <c r="N9" s="426"/>
      <c r="O9" s="442"/>
      <c r="P9" s="442" t="s">
        <v>3</v>
      </c>
      <c r="Q9" s="781"/>
      <c r="R9" s="782">
        <f>SUM(B9,H9,D9,F9)</f>
        <v>51</v>
      </c>
      <c r="S9" s="801">
        <f>SUM(C9,E9,G9,I9,K9,L9,M9,O9,P9,Q9)</f>
        <v>6764.900000000001</v>
      </c>
      <c r="T9" s="277"/>
      <c r="U9" s="277"/>
      <c r="V9" s="279"/>
      <c r="W9" s="279"/>
      <c r="X9" s="279"/>
    </row>
    <row r="10" spans="1:21" ht="18" customHeight="1">
      <c r="A10" s="527" t="s">
        <v>492</v>
      </c>
      <c r="B10" s="773"/>
      <c r="C10" s="522"/>
      <c r="D10" s="775"/>
      <c r="E10" s="776"/>
      <c r="F10" s="773"/>
      <c r="G10" s="774"/>
      <c r="H10" s="775"/>
      <c r="I10" s="776"/>
      <c r="J10" s="773"/>
      <c r="K10" s="774"/>
      <c r="L10" s="774"/>
      <c r="M10" s="776"/>
      <c r="N10" s="773"/>
      <c r="O10" s="775"/>
      <c r="P10" s="779"/>
      <c r="Q10" s="780"/>
      <c r="R10" s="575"/>
      <c r="S10" s="522"/>
      <c r="T10" s="136"/>
      <c r="U10" s="136"/>
    </row>
    <row r="11" spans="1:21" ht="17.25" customHeight="1">
      <c r="A11" s="44" t="s">
        <v>7</v>
      </c>
      <c r="B11" s="425" t="s">
        <v>3</v>
      </c>
      <c r="C11" s="804" t="s">
        <v>3</v>
      </c>
      <c r="D11" s="50" t="s">
        <v>3</v>
      </c>
      <c r="E11" s="428" t="s">
        <v>3</v>
      </c>
      <c r="F11" s="425">
        <f>ApV!D31</f>
        <v>19</v>
      </c>
      <c r="G11" s="441">
        <f>ApV!E31</f>
        <v>674.63</v>
      </c>
      <c r="H11" s="50">
        <f>ApV!F31</f>
        <v>0</v>
      </c>
      <c r="I11" s="449">
        <f>ApV!G31</f>
        <v>0</v>
      </c>
      <c r="J11" s="425">
        <f>ApV!H31</f>
        <v>0</v>
      </c>
      <c r="K11" s="50">
        <f>ApV!I31</f>
        <v>0</v>
      </c>
      <c r="L11" s="50">
        <f>ApV!J31</f>
        <v>0</v>
      </c>
      <c r="M11" s="50">
        <f>ApV!K31</f>
        <v>0</v>
      </c>
      <c r="N11" s="425"/>
      <c r="O11" s="50"/>
      <c r="P11" s="441" t="s">
        <v>3</v>
      </c>
      <c r="Q11" s="449" t="s">
        <v>3</v>
      </c>
      <c r="R11" s="51">
        <f>SUM(B11,H11,D11,F11)</f>
        <v>19</v>
      </c>
      <c r="S11" s="800">
        <f>SUM(C11,E11,G11,I11,K11,L11,M11,O11,P11,Q11)</f>
        <v>674.63</v>
      </c>
      <c r="T11" s="136"/>
      <c r="U11" s="136"/>
    </row>
    <row r="12" spans="1:24" s="263" customFormat="1" ht="17.25" customHeight="1">
      <c r="A12" s="49" t="s">
        <v>10</v>
      </c>
      <c r="B12" s="426">
        <v>2</v>
      </c>
      <c r="C12" s="805">
        <v>246.5</v>
      </c>
      <c r="D12" s="276" t="s">
        <v>3</v>
      </c>
      <c r="E12" s="429" t="s">
        <v>3</v>
      </c>
      <c r="F12" s="426">
        <f>ApV!D97</f>
        <v>43</v>
      </c>
      <c r="G12" s="442">
        <f>ApV!E97</f>
        <v>5101.400000000001</v>
      </c>
      <c r="H12" s="276">
        <f>ApV!F97</f>
        <v>0</v>
      </c>
      <c r="I12" s="781">
        <f>ApV!G97</f>
        <v>0</v>
      </c>
      <c r="J12" s="426">
        <f>ApV!H97</f>
        <v>0</v>
      </c>
      <c r="K12" s="442">
        <f>ApV!I97</f>
        <v>0</v>
      </c>
      <c r="L12" s="276">
        <f>ApV!J97</f>
        <v>0</v>
      </c>
      <c r="M12" s="450">
        <f>ApV!K97</f>
        <v>0</v>
      </c>
      <c r="N12" s="426">
        <v>2</v>
      </c>
      <c r="O12" s="442">
        <f>543.7</f>
        <v>543.7</v>
      </c>
      <c r="P12" s="442" t="s">
        <v>3</v>
      </c>
      <c r="Q12" s="450" t="s">
        <v>3</v>
      </c>
      <c r="R12" s="782">
        <f>SUM(B12,H12,D12,F12)</f>
        <v>45</v>
      </c>
      <c r="S12" s="801">
        <f>SUM(C12,E12,G12,I12,K12,L12,M12,O12,P12,Q12)</f>
        <v>5891.6</v>
      </c>
      <c r="T12" s="277"/>
      <c r="U12" s="277"/>
      <c r="V12" s="279"/>
      <c r="W12" s="279"/>
      <c r="X12" s="279"/>
    </row>
    <row r="13" spans="1:21" ht="17.25" customHeight="1">
      <c r="A13" s="520" t="s">
        <v>493</v>
      </c>
      <c r="B13" s="576"/>
      <c r="C13" s="525"/>
      <c r="D13" s="578"/>
      <c r="E13" s="579"/>
      <c r="F13" s="576"/>
      <c r="G13" s="577"/>
      <c r="H13" s="578"/>
      <c r="I13" s="579"/>
      <c r="J13" s="576"/>
      <c r="K13" s="577"/>
      <c r="L13" s="577"/>
      <c r="M13" s="579"/>
      <c r="N13" s="576"/>
      <c r="O13" s="578"/>
      <c r="P13" s="580"/>
      <c r="Q13" s="581"/>
      <c r="R13" s="575">
        <f>SUM(B13,H13,N13,D13,J13)</f>
        <v>0</v>
      </c>
      <c r="S13" s="522"/>
      <c r="T13" s="136"/>
      <c r="U13" s="136"/>
    </row>
    <row r="14" spans="1:24" s="351" customFormat="1" ht="17.25" customHeight="1">
      <c r="A14" s="44" t="s">
        <v>11</v>
      </c>
      <c r="B14" s="778">
        <v>1</v>
      </c>
      <c r="C14" s="804">
        <v>105.7</v>
      </c>
      <c r="D14" s="419" t="s">
        <v>3</v>
      </c>
      <c r="E14" s="428" t="s">
        <v>3</v>
      </c>
      <c r="F14" s="425"/>
      <c r="G14" s="50"/>
      <c r="H14" s="50"/>
      <c r="I14" s="449"/>
      <c r="J14" s="425"/>
      <c r="K14" s="50"/>
      <c r="L14" s="50"/>
      <c r="M14" s="448"/>
      <c r="N14" s="425" t="s">
        <v>3</v>
      </c>
      <c r="O14" s="50" t="s">
        <v>3</v>
      </c>
      <c r="P14" s="441" t="s">
        <v>3</v>
      </c>
      <c r="Q14" s="449" t="s">
        <v>3</v>
      </c>
      <c r="R14" s="51">
        <f>SUM(B14,H14,D14,F14)</f>
        <v>1</v>
      </c>
      <c r="S14" s="479">
        <f>SUM(C14,E14,G14,I14,K14,L14,M14,O14,P14,Q14)</f>
        <v>105.7</v>
      </c>
      <c r="T14" s="1038"/>
      <c r="U14" s="1038"/>
      <c r="V14" s="437"/>
      <c r="W14" s="437"/>
      <c r="X14" s="437"/>
    </row>
    <row r="15" spans="1:24" s="351" customFormat="1" ht="17.25" customHeight="1">
      <c r="A15" s="44" t="s">
        <v>420</v>
      </c>
      <c r="B15" s="778">
        <v>1</v>
      </c>
      <c r="C15" s="804">
        <v>97.3</v>
      </c>
      <c r="D15" s="419" t="s">
        <v>3</v>
      </c>
      <c r="E15" s="428" t="s">
        <v>3</v>
      </c>
      <c r="F15" s="425"/>
      <c r="G15" s="50"/>
      <c r="H15" s="50"/>
      <c r="I15" s="449"/>
      <c r="J15" s="425"/>
      <c r="K15" s="50"/>
      <c r="L15" s="50"/>
      <c r="M15" s="448"/>
      <c r="N15" s="425" t="s">
        <v>3</v>
      </c>
      <c r="O15" s="50" t="s">
        <v>3</v>
      </c>
      <c r="P15" s="441" t="s">
        <v>3</v>
      </c>
      <c r="Q15" s="449" t="s">
        <v>3</v>
      </c>
      <c r="R15" s="51">
        <f>SUM(B15,H15,D15,F15)</f>
        <v>1</v>
      </c>
      <c r="S15" s="479">
        <f>SUM(C15,E15,G15,I15,K15,L15,M15,O15,P15,Q15)</f>
        <v>97.3</v>
      </c>
      <c r="T15" s="1038"/>
      <c r="U15" s="1038"/>
      <c r="V15" s="437"/>
      <c r="W15" s="437"/>
      <c r="X15" s="437"/>
    </row>
    <row r="16" spans="1:24" s="263" customFormat="1" ht="17.25" customHeight="1">
      <c r="A16" s="49" t="s">
        <v>12</v>
      </c>
      <c r="B16" s="1033">
        <v>35</v>
      </c>
      <c r="C16" s="805">
        <v>3857.6</v>
      </c>
      <c r="D16" s="1034">
        <v>8</v>
      </c>
      <c r="E16" s="429">
        <v>1519.4</v>
      </c>
      <c r="F16" s="426"/>
      <c r="G16" s="276"/>
      <c r="H16" s="276"/>
      <c r="I16" s="450"/>
      <c r="J16" s="426"/>
      <c r="K16" s="276"/>
      <c r="L16" s="276"/>
      <c r="M16" s="781"/>
      <c r="N16" s="426" t="s">
        <v>3</v>
      </c>
      <c r="O16" s="276" t="s">
        <v>3</v>
      </c>
      <c r="P16" s="442" t="s">
        <v>3</v>
      </c>
      <c r="Q16" s="450" t="s">
        <v>3</v>
      </c>
      <c r="R16" s="782">
        <f>SUM(B16,H16,D16,F16)</f>
        <v>43</v>
      </c>
      <c r="S16" s="801">
        <f>SUM(C16,E16,G16,I16,K16,L16,M16,O16,P16,Q16)</f>
        <v>5377</v>
      </c>
      <c r="T16" s="277"/>
      <c r="U16" s="277"/>
      <c r="V16" s="279"/>
      <c r="W16" s="279"/>
      <c r="X16" s="279"/>
    </row>
    <row r="17" spans="1:21" ht="17.25" customHeight="1">
      <c r="A17" s="538" t="s">
        <v>494</v>
      </c>
      <c r="B17" s="773"/>
      <c r="C17" s="522"/>
      <c r="D17" s="775"/>
      <c r="E17" s="776"/>
      <c r="F17" s="773"/>
      <c r="G17" s="774"/>
      <c r="H17" s="775"/>
      <c r="I17" s="776"/>
      <c r="J17" s="773"/>
      <c r="K17" s="774"/>
      <c r="L17" s="774"/>
      <c r="M17" s="776"/>
      <c r="N17" s="773"/>
      <c r="O17" s="775"/>
      <c r="P17" s="779"/>
      <c r="Q17" s="780"/>
      <c r="R17" s="575"/>
      <c r="S17" s="522"/>
      <c r="T17" s="136"/>
      <c r="U17" s="136"/>
    </row>
    <row r="18" spans="1:21" ht="18" customHeight="1">
      <c r="A18" s="44" t="s">
        <v>422</v>
      </c>
      <c r="B18" s="425">
        <v>1</v>
      </c>
      <c r="C18" s="804">
        <v>69.1</v>
      </c>
      <c r="D18" s="50" t="s">
        <v>3</v>
      </c>
      <c r="E18" s="449" t="s">
        <v>3</v>
      </c>
      <c r="F18" s="425" t="s">
        <v>3</v>
      </c>
      <c r="G18" s="419" t="s">
        <v>3</v>
      </c>
      <c r="H18" s="50" t="s">
        <v>3</v>
      </c>
      <c r="I18" s="428" t="s">
        <v>3</v>
      </c>
      <c r="J18" s="778"/>
      <c r="K18" s="419"/>
      <c r="L18" s="804">
        <f>ApV!J13</f>
        <v>0</v>
      </c>
      <c r="M18" s="804">
        <f>ApV!K13</f>
        <v>0</v>
      </c>
      <c r="N18" s="425" t="s">
        <v>3</v>
      </c>
      <c r="O18" s="50" t="s">
        <v>3</v>
      </c>
      <c r="P18" s="441" t="s">
        <v>3</v>
      </c>
      <c r="Q18" s="449" t="s">
        <v>3</v>
      </c>
      <c r="R18" s="51">
        <f aca="true" t="shared" si="0" ref="R18:R27">SUM(B18,H18,D18,F18)</f>
        <v>1</v>
      </c>
      <c r="S18" s="800">
        <f aca="true" t="shared" si="1" ref="S18:S27">SUM(C18,E18,G18,I18,K18,L18,M18,O18,P18,Q18)</f>
        <v>69.1</v>
      </c>
      <c r="T18" s="136"/>
      <c r="U18" s="136"/>
    </row>
    <row r="19" spans="1:21" ht="18" customHeight="1">
      <c r="A19" s="44" t="s">
        <v>15</v>
      </c>
      <c r="B19" s="425">
        <v>11</v>
      </c>
      <c r="C19" s="804">
        <v>529.6</v>
      </c>
      <c r="D19" s="50">
        <v>61</v>
      </c>
      <c r="E19" s="428">
        <v>14650.7</v>
      </c>
      <c r="F19" s="425">
        <f>ApV!D11</f>
        <v>40</v>
      </c>
      <c r="G19" s="441">
        <f>ApV!E11</f>
        <v>3720.6400000000003</v>
      </c>
      <c r="H19" s="50">
        <f>ApV!F11</f>
        <v>1</v>
      </c>
      <c r="I19" s="448">
        <f>ApV!G11</f>
        <v>515.35</v>
      </c>
      <c r="J19" s="425">
        <f>ApV!H11</f>
        <v>25</v>
      </c>
      <c r="K19" s="441">
        <f>ApV!I11</f>
        <v>3785.8700000000003</v>
      </c>
      <c r="L19" s="441">
        <f>ApV!J11</f>
        <v>2493.2</v>
      </c>
      <c r="M19" s="441">
        <f>ApV!K11</f>
        <v>202.8</v>
      </c>
      <c r="N19" s="425"/>
      <c r="O19" s="441"/>
      <c r="P19" s="441" t="s">
        <v>3</v>
      </c>
      <c r="Q19" s="448"/>
      <c r="R19" s="51">
        <f t="shared" si="0"/>
        <v>113</v>
      </c>
      <c r="S19" s="800">
        <f t="shared" si="1"/>
        <v>25898.16</v>
      </c>
      <c r="T19" s="136"/>
      <c r="U19" s="136"/>
    </row>
    <row r="20" spans="1:21" ht="18" customHeight="1">
      <c r="A20" s="44" t="s">
        <v>16</v>
      </c>
      <c r="B20" s="425">
        <v>1</v>
      </c>
      <c r="C20" s="804">
        <v>96.5</v>
      </c>
      <c r="D20" s="50" t="s">
        <v>3</v>
      </c>
      <c r="E20" s="428" t="s">
        <v>3</v>
      </c>
      <c r="F20" s="425" t="s">
        <v>3</v>
      </c>
      <c r="G20" s="419" t="s">
        <v>3</v>
      </c>
      <c r="H20" s="50" t="s">
        <v>3</v>
      </c>
      <c r="I20" s="428" t="s">
        <v>3</v>
      </c>
      <c r="J20" s="425" t="s">
        <v>3</v>
      </c>
      <c r="K20" s="419" t="s">
        <v>3</v>
      </c>
      <c r="L20" s="419" t="s">
        <v>3</v>
      </c>
      <c r="M20" s="428" t="s">
        <v>3</v>
      </c>
      <c r="N20" s="425" t="s">
        <v>3</v>
      </c>
      <c r="O20" s="50" t="s">
        <v>3</v>
      </c>
      <c r="P20" s="441" t="s">
        <v>3</v>
      </c>
      <c r="Q20" s="449" t="s">
        <v>3</v>
      </c>
      <c r="R20" s="51">
        <f t="shared" si="0"/>
        <v>1</v>
      </c>
      <c r="S20" s="800">
        <f t="shared" si="1"/>
        <v>96.5</v>
      </c>
      <c r="T20" s="136"/>
      <c r="U20" s="136"/>
    </row>
    <row r="21" spans="1:21" ht="18" customHeight="1">
      <c r="A21" s="44" t="s">
        <v>17</v>
      </c>
      <c r="B21" s="425">
        <v>6</v>
      </c>
      <c r="C21" s="804">
        <v>150.2</v>
      </c>
      <c r="D21" s="50" t="s">
        <v>3</v>
      </c>
      <c r="E21" s="428" t="s">
        <v>3</v>
      </c>
      <c r="F21" s="425" t="s">
        <v>3</v>
      </c>
      <c r="G21" s="419" t="s">
        <v>3</v>
      </c>
      <c r="H21" s="50" t="s">
        <v>3</v>
      </c>
      <c r="I21" s="428" t="s">
        <v>3</v>
      </c>
      <c r="J21" s="425" t="s">
        <v>3</v>
      </c>
      <c r="K21" s="419" t="s">
        <v>3</v>
      </c>
      <c r="L21" s="419" t="s">
        <v>3</v>
      </c>
      <c r="M21" s="428" t="s">
        <v>3</v>
      </c>
      <c r="N21" s="425" t="s">
        <v>3</v>
      </c>
      <c r="O21" s="50" t="s">
        <v>3</v>
      </c>
      <c r="P21" s="441" t="s">
        <v>3</v>
      </c>
      <c r="Q21" s="449" t="s">
        <v>3</v>
      </c>
      <c r="R21" s="51">
        <f t="shared" si="0"/>
        <v>6</v>
      </c>
      <c r="S21" s="800">
        <f t="shared" si="1"/>
        <v>150.2</v>
      </c>
      <c r="T21" s="136"/>
      <c r="U21" s="136"/>
    </row>
    <row r="22" spans="1:21" ht="18" customHeight="1">
      <c r="A22" s="44" t="s">
        <v>423</v>
      </c>
      <c r="B22" s="425">
        <v>1</v>
      </c>
      <c r="C22" s="804">
        <v>114.8</v>
      </c>
      <c r="D22" s="50" t="s">
        <v>3</v>
      </c>
      <c r="E22" s="428" t="s">
        <v>3</v>
      </c>
      <c r="F22" s="425" t="s">
        <v>3</v>
      </c>
      <c r="G22" s="419" t="s">
        <v>3</v>
      </c>
      <c r="H22" s="50" t="s">
        <v>3</v>
      </c>
      <c r="I22" s="428" t="s">
        <v>3</v>
      </c>
      <c r="J22" s="425" t="s">
        <v>3</v>
      </c>
      <c r="K22" s="419" t="s">
        <v>3</v>
      </c>
      <c r="L22" s="419" t="s">
        <v>3</v>
      </c>
      <c r="M22" s="428" t="s">
        <v>3</v>
      </c>
      <c r="N22" s="425" t="s">
        <v>3</v>
      </c>
      <c r="O22" s="50" t="s">
        <v>3</v>
      </c>
      <c r="P22" s="441" t="s">
        <v>3</v>
      </c>
      <c r="Q22" s="449" t="s">
        <v>3</v>
      </c>
      <c r="R22" s="51">
        <f t="shared" si="0"/>
        <v>1</v>
      </c>
      <c r="S22" s="800">
        <f t="shared" si="1"/>
        <v>114.8</v>
      </c>
      <c r="T22" s="136"/>
      <c r="U22" s="136"/>
    </row>
    <row r="23" spans="1:21" ht="18" customHeight="1">
      <c r="A23" s="44" t="s">
        <v>227</v>
      </c>
      <c r="B23" s="425">
        <v>1</v>
      </c>
      <c r="C23" s="804">
        <v>124.5</v>
      </c>
      <c r="D23" s="50" t="s">
        <v>3</v>
      </c>
      <c r="E23" s="428" t="s">
        <v>3</v>
      </c>
      <c r="F23" s="425" t="s">
        <v>3</v>
      </c>
      <c r="G23" s="419" t="s">
        <v>3</v>
      </c>
      <c r="H23" s="50" t="s">
        <v>3</v>
      </c>
      <c r="I23" s="428" t="s">
        <v>3</v>
      </c>
      <c r="J23" s="425" t="s">
        <v>3</v>
      </c>
      <c r="K23" s="419" t="s">
        <v>3</v>
      </c>
      <c r="L23" s="419" t="s">
        <v>3</v>
      </c>
      <c r="M23" s="428" t="s">
        <v>3</v>
      </c>
      <c r="N23" s="425" t="s">
        <v>3</v>
      </c>
      <c r="O23" s="50" t="s">
        <v>3</v>
      </c>
      <c r="P23" s="441" t="s">
        <v>3</v>
      </c>
      <c r="Q23" s="449" t="s">
        <v>3</v>
      </c>
      <c r="R23" s="51">
        <f t="shared" si="0"/>
        <v>1</v>
      </c>
      <c r="S23" s="800">
        <f t="shared" si="1"/>
        <v>124.5</v>
      </c>
      <c r="T23" s="136"/>
      <c r="U23" s="136"/>
    </row>
    <row r="24" spans="1:21" ht="18" customHeight="1">
      <c r="A24" s="44" t="s">
        <v>18</v>
      </c>
      <c r="B24" s="425">
        <v>1</v>
      </c>
      <c r="C24" s="804">
        <v>113.8</v>
      </c>
      <c r="D24" s="50" t="s">
        <v>3</v>
      </c>
      <c r="E24" s="428" t="s">
        <v>3</v>
      </c>
      <c r="F24" s="425" t="s">
        <v>3</v>
      </c>
      <c r="G24" s="419" t="s">
        <v>3</v>
      </c>
      <c r="H24" s="50" t="s">
        <v>3</v>
      </c>
      <c r="I24" s="428" t="s">
        <v>3</v>
      </c>
      <c r="J24" s="425" t="s">
        <v>3</v>
      </c>
      <c r="K24" s="419" t="s">
        <v>3</v>
      </c>
      <c r="L24" s="419" t="s">
        <v>3</v>
      </c>
      <c r="M24" s="428" t="s">
        <v>3</v>
      </c>
      <c r="N24" s="425" t="s">
        <v>3</v>
      </c>
      <c r="O24" s="50" t="s">
        <v>3</v>
      </c>
      <c r="P24" s="441" t="s">
        <v>3</v>
      </c>
      <c r="Q24" s="449" t="s">
        <v>3</v>
      </c>
      <c r="R24" s="51">
        <f t="shared" si="0"/>
        <v>1</v>
      </c>
      <c r="S24" s="800">
        <f t="shared" si="1"/>
        <v>113.8</v>
      </c>
      <c r="T24" s="136"/>
      <c r="U24" s="136"/>
    </row>
    <row r="25" spans="1:21" ht="18" customHeight="1">
      <c r="A25" s="44" t="s">
        <v>19</v>
      </c>
      <c r="B25" s="425"/>
      <c r="C25" s="804"/>
      <c r="D25" s="50" t="s">
        <v>3</v>
      </c>
      <c r="E25" s="428" t="s">
        <v>3</v>
      </c>
      <c r="F25" s="425">
        <f>ApV!D65</f>
        <v>5</v>
      </c>
      <c r="G25" s="441">
        <f>ApV!E65</f>
        <v>558.14</v>
      </c>
      <c r="H25" s="50">
        <f>ApV!F65</f>
        <v>0</v>
      </c>
      <c r="I25" s="449">
        <f>ApV!G65</f>
        <v>0</v>
      </c>
      <c r="J25" s="425">
        <f>ApV!H65</f>
        <v>0</v>
      </c>
      <c r="K25" s="50">
        <f>ApV!I65</f>
        <v>0</v>
      </c>
      <c r="L25" s="50">
        <f>ApV!J65</f>
        <v>0</v>
      </c>
      <c r="M25" s="50">
        <f>ApV!K65</f>
        <v>0</v>
      </c>
      <c r="N25" s="425" t="s">
        <v>3</v>
      </c>
      <c r="O25" s="50" t="s">
        <v>3</v>
      </c>
      <c r="P25" s="441" t="s">
        <v>3</v>
      </c>
      <c r="Q25" s="449" t="s">
        <v>3</v>
      </c>
      <c r="R25" s="51">
        <f t="shared" si="0"/>
        <v>5</v>
      </c>
      <c r="S25" s="800">
        <f t="shared" si="1"/>
        <v>558.14</v>
      </c>
      <c r="T25" s="136"/>
      <c r="U25" s="136"/>
    </row>
    <row r="26" spans="1:21" ht="18" customHeight="1">
      <c r="A26" s="44" t="s">
        <v>20</v>
      </c>
      <c r="B26" s="425"/>
      <c r="C26" s="804"/>
      <c r="D26" s="50" t="s">
        <v>3</v>
      </c>
      <c r="E26" s="428"/>
      <c r="F26" s="425">
        <f>ApV!D79</f>
        <v>7</v>
      </c>
      <c r="G26" s="441">
        <f>ApV!E79</f>
        <v>608.3000000000001</v>
      </c>
      <c r="H26" s="50">
        <f>ApV!F79</f>
        <v>0</v>
      </c>
      <c r="I26" s="449">
        <f>ApV!G79</f>
        <v>0</v>
      </c>
      <c r="J26" s="425">
        <f>ApV!H79</f>
        <v>0</v>
      </c>
      <c r="K26" s="50">
        <f>ApV!I79</f>
        <v>0</v>
      </c>
      <c r="L26" s="441">
        <f>ApV!J79</f>
        <v>502.5</v>
      </c>
      <c r="M26" s="50">
        <f>ApV!K79</f>
        <v>0</v>
      </c>
      <c r="N26" s="425" t="s">
        <v>3</v>
      </c>
      <c r="O26" s="50" t="s">
        <v>3</v>
      </c>
      <c r="P26" s="441" t="s">
        <v>3</v>
      </c>
      <c r="Q26" s="449" t="s">
        <v>3</v>
      </c>
      <c r="R26" s="51">
        <f t="shared" si="0"/>
        <v>7</v>
      </c>
      <c r="S26" s="800">
        <f t="shared" si="1"/>
        <v>1110.8000000000002</v>
      </c>
      <c r="T26" s="136"/>
      <c r="U26" s="136"/>
    </row>
    <row r="27" spans="1:24" s="351" customFormat="1" ht="17.25" customHeight="1">
      <c r="A27" s="44" t="s">
        <v>21</v>
      </c>
      <c r="B27" s="425">
        <v>1</v>
      </c>
      <c r="C27" s="804">
        <v>101.9</v>
      </c>
      <c r="D27" s="50" t="s">
        <v>3</v>
      </c>
      <c r="E27" s="428" t="s">
        <v>3</v>
      </c>
      <c r="F27" s="425" t="s">
        <v>3</v>
      </c>
      <c r="G27" s="419" t="s">
        <v>3</v>
      </c>
      <c r="H27" s="50" t="s">
        <v>3</v>
      </c>
      <c r="I27" s="428" t="s">
        <v>3</v>
      </c>
      <c r="J27" s="425" t="s">
        <v>3</v>
      </c>
      <c r="K27" s="419" t="s">
        <v>3</v>
      </c>
      <c r="L27" s="419" t="s">
        <v>3</v>
      </c>
      <c r="M27" s="428" t="s">
        <v>3</v>
      </c>
      <c r="N27" s="425" t="s">
        <v>3</v>
      </c>
      <c r="O27" s="50" t="s">
        <v>3</v>
      </c>
      <c r="P27" s="441" t="s">
        <v>3</v>
      </c>
      <c r="Q27" s="449" t="s">
        <v>3</v>
      </c>
      <c r="R27" s="51">
        <f t="shared" si="0"/>
        <v>1</v>
      </c>
      <c r="S27" s="479">
        <f t="shared" si="1"/>
        <v>101.9</v>
      </c>
      <c r="T27" s="1038"/>
      <c r="U27" s="1038"/>
      <c r="V27" s="437"/>
      <c r="W27" s="437"/>
      <c r="X27" s="437"/>
    </row>
    <row r="28" spans="1:24" s="351" customFormat="1" ht="17.25" customHeight="1">
      <c r="A28" s="44" t="s">
        <v>426</v>
      </c>
      <c r="B28" s="425">
        <v>6</v>
      </c>
      <c r="C28" s="804">
        <v>643.7</v>
      </c>
      <c r="D28" s="50"/>
      <c r="E28" s="428"/>
      <c r="F28" s="425"/>
      <c r="G28" s="419"/>
      <c r="H28" s="50"/>
      <c r="I28" s="428"/>
      <c r="J28" s="425"/>
      <c r="K28" s="419"/>
      <c r="L28" s="419"/>
      <c r="M28" s="428"/>
      <c r="N28" s="425"/>
      <c r="O28" s="50"/>
      <c r="P28" s="441"/>
      <c r="Q28" s="449"/>
      <c r="R28" s="51">
        <f>SUM(B28,H28,D28,F28)</f>
        <v>6</v>
      </c>
      <c r="S28" s="479">
        <f>SUM(C28,E28,G28,I28,K28,L28,M28,O28,P28,Q28)</f>
        <v>643.7</v>
      </c>
      <c r="T28" s="1038"/>
      <c r="U28" s="1038"/>
      <c r="V28" s="437"/>
      <c r="W28" s="437"/>
      <c r="X28" s="437"/>
    </row>
    <row r="29" spans="1:19" ht="19.5">
      <c r="A29" s="783" t="s">
        <v>428</v>
      </c>
      <c r="B29" s="426">
        <v>1</v>
      </c>
      <c r="C29" s="805">
        <v>130.9</v>
      </c>
      <c r="F29" s="1043"/>
      <c r="G29" s="1044"/>
      <c r="H29" s="1045"/>
      <c r="I29" s="1046"/>
      <c r="J29" s="1047"/>
      <c r="K29" s="1044"/>
      <c r="L29" s="1044"/>
      <c r="M29" s="1046"/>
      <c r="R29" s="51">
        <f>SUM(B29,H29,D29,F29)</f>
        <v>1</v>
      </c>
      <c r="S29" s="800">
        <f>SUM(C29,E29,G29,I29,K29,L29,M29,O29,P29,Q29)</f>
        <v>130.9</v>
      </c>
    </row>
    <row r="30" spans="1:21" ht="18" customHeight="1">
      <c r="A30" s="538" t="s">
        <v>518</v>
      </c>
      <c r="B30" s="773"/>
      <c r="C30" s="522"/>
      <c r="D30" s="775"/>
      <c r="E30" s="776"/>
      <c r="F30" s="773"/>
      <c r="G30" s="774"/>
      <c r="H30" s="775"/>
      <c r="I30" s="776"/>
      <c r="J30" s="773"/>
      <c r="K30" s="774"/>
      <c r="L30" s="774"/>
      <c r="M30" s="776"/>
      <c r="N30" s="773"/>
      <c r="O30" s="775"/>
      <c r="P30" s="779"/>
      <c r="Q30" s="780"/>
      <c r="R30" s="575">
        <f>SUM(B30,H30,N30,D30,J30)</f>
        <v>0</v>
      </c>
      <c r="S30" s="522"/>
      <c r="T30" s="136"/>
      <c r="U30" s="136"/>
    </row>
    <row r="31" spans="1:21" ht="17.25" customHeight="1">
      <c r="A31" s="44" t="s">
        <v>130</v>
      </c>
      <c r="B31" s="425">
        <v>3</v>
      </c>
      <c r="C31" s="804">
        <v>470.8</v>
      </c>
      <c r="D31" s="50" t="s">
        <v>3</v>
      </c>
      <c r="E31" s="428">
        <v>1747.7</v>
      </c>
      <c r="F31" s="425" t="s">
        <v>3</v>
      </c>
      <c r="G31" s="419" t="s">
        <v>3</v>
      </c>
      <c r="H31" s="50" t="s">
        <v>3</v>
      </c>
      <c r="I31" s="428" t="s">
        <v>3</v>
      </c>
      <c r="J31" s="425"/>
      <c r="K31" s="441"/>
      <c r="L31" s="50"/>
      <c r="M31" s="449"/>
      <c r="N31" s="425"/>
      <c r="O31" s="441"/>
      <c r="P31" s="441" t="s">
        <v>3</v>
      </c>
      <c r="Q31" s="449" t="s">
        <v>3</v>
      </c>
      <c r="R31" s="51">
        <f>SUM(B31,H31,D31,F31)</f>
        <v>3</v>
      </c>
      <c r="S31" s="800">
        <f>SUM(C31,E31,G31,I31,K31,L31,M31,O31,P31,Q31)</f>
        <v>2218.5</v>
      </c>
      <c r="T31" s="136"/>
      <c r="U31" s="136"/>
    </row>
    <row r="32" spans="1:21" ht="17.25" customHeight="1">
      <c r="A32" s="44" t="s">
        <v>26</v>
      </c>
      <c r="B32" s="425"/>
      <c r="C32" s="804"/>
      <c r="D32" s="50" t="s">
        <v>3</v>
      </c>
      <c r="E32" s="428" t="s">
        <v>3</v>
      </c>
      <c r="F32" s="425">
        <f>ApV!D18</f>
        <v>0</v>
      </c>
      <c r="G32" s="50">
        <f>ApV!E18</f>
        <v>0</v>
      </c>
      <c r="H32" s="50">
        <f>ApV!F18</f>
        <v>0</v>
      </c>
      <c r="I32" s="449">
        <f>ApV!G18</f>
        <v>0</v>
      </c>
      <c r="J32" s="425">
        <f>ApV!H18</f>
        <v>0</v>
      </c>
      <c r="K32" s="50">
        <f>ApV!I18</f>
        <v>0</v>
      </c>
      <c r="L32" s="441">
        <f>ApV!J18</f>
        <v>568.7</v>
      </c>
      <c r="M32" s="50">
        <f>ApV!K18</f>
        <v>0</v>
      </c>
      <c r="N32" s="425"/>
      <c r="O32" s="441"/>
      <c r="P32" s="441" t="s">
        <v>3</v>
      </c>
      <c r="Q32" s="449" t="s">
        <v>3</v>
      </c>
      <c r="R32" s="51">
        <f aca="true" t="shared" si="2" ref="R32:R40">SUM(B32,H32,D32,F32)</f>
        <v>0</v>
      </c>
      <c r="S32" s="800">
        <f aca="true" t="shared" si="3" ref="S32:S40">SUM(C32,E32,G32,I32,K32,L32,M32,O32,P32,Q32)</f>
        <v>568.7</v>
      </c>
      <c r="T32" s="136"/>
      <c r="U32" s="136"/>
    </row>
    <row r="33" spans="1:21" ht="17.25" customHeight="1">
      <c r="A33" s="44" t="s">
        <v>197</v>
      </c>
      <c r="B33" s="425">
        <v>4</v>
      </c>
      <c r="C33" s="804">
        <v>777.5</v>
      </c>
      <c r="D33" s="50" t="s">
        <v>3</v>
      </c>
      <c r="E33" s="428" t="s">
        <v>3</v>
      </c>
      <c r="F33" s="425" t="s">
        <v>3</v>
      </c>
      <c r="G33" s="419" t="s">
        <v>3</v>
      </c>
      <c r="H33" s="50" t="s">
        <v>3</v>
      </c>
      <c r="I33" s="428" t="s">
        <v>3</v>
      </c>
      <c r="J33" s="425" t="s">
        <v>3</v>
      </c>
      <c r="K33" s="419" t="s">
        <v>3</v>
      </c>
      <c r="L33" s="419" t="s">
        <v>3</v>
      </c>
      <c r="M33" s="428" t="s">
        <v>3</v>
      </c>
      <c r="N33" s="425" t="s">
        <v>3</v>
      </c>
      <c r="O33" s="50" t="s">
        <v>3</v>
      </c>
      <c r="P33" s="441" t="s">
        <v>3</v>
      </c>
      <c r="Q33" s="449" t="s">
        <v>3</v>
      </c>
      <c r="R33" s="51">
        <f t="shared" si="2"/>
        <v>4</v>
      </c>
      <c r="S33" s="800">
        <f t="shared" si="3"/>
        <v>777.5</v>
      </c>
      <c r="T33" s="136"/>
      <c r="U33" s="136"/>
    </row>
    <row r="34" spans="1:21" ht="17.25" customHeight="1">
      <c r="A34" s="44" t="s">
        <v>29</v>
      </c>
      <c r="B34" s="425">
        <v>2</v>
      </c>
      <c r="C34" s="804">
        <v>319.2</v>
      </c>
      <c r="D34" s="50">
        <v>2</v>
      </c>
      <c r="E34" s="428">
        <v>998.4</v>
      </c>
      <c r="F34" s="425" t="s">
        <v>3</v>
      </c>
      <c r="G34" s="419" t="s">
        <v>3</v>
      </c>
      <c r="H34" s="50" t="s">
        <v>3</v>
      </c>
      <c r="I34" s="428" t="s">
        <v>3</v>
      </c>
      <c r="J34" s="425" t="s">
        <v>3</v>
      </c>
      <c r="K34" s="419" t="s">
        <v>3</v>
      </c>
      <c r="L34" s="419" t="s">
        <v>3</v>
      </c>
      <c r="M34" s="428" t="s">
        <v>3</v>
      </c>
      <c r="N34" s="425" t="s">
        <v>3</v>
      </c>
      <c r="O34" s="50" t="s">
        <v>3</v>
      </c>
      <c r="P34" s="441" t="s">
        <v>3</v>
      </c>
      <c r="Q34" s="449" t="s">
        <v>3</v>
      </c>
      <c r="R34" s="51">
        <f t="shared" si="2"/>
        <v>4</v>
      </c>
      <c r="S34" s="800">
        <f t="shared" si="3"/>
        <v>1317.6</v>
      </c>
      <c r="T34" s="136"/>
      <c r="U34" s="136"/>
    </row>
    <row r="35" spans="1:21" ht="17.25" customHeight="1">
      <c r="A35" s="44" t="s">
        <v>113</v>
      </c>
      <c r="B35" s="425">
        <v>3</v>
      </c>
      <c r="C35" s="804">
        <v>490.8</v>
      </c>
      <c r="D35" s="50" t="s">
        <v>3</v>
      </c>
      <c r="E35" s="428" t="s">
        <v>3</v>
      </c>
      <c r="F35" s="425">
        <f>ApV!D62</f>
        <v>0</v>
      </c>
      <c r="G35" s="441">
        <f>ApV!E62</f>
        <v>0</v>
      </c>
      <c r="H35" s="50">
        <f>ApV!F62</f>
        <v>0</v>
      </c>
      <c r="I35" s="449">
        <f>ApV!G62</f>
        <v>0</v>
      </c>
      <c r="J35" s="425">
        <f>ApV!H62</f>
        <v>0</v>
      </c>
      <c r="K35" s="441">
        <f>ApV!I62</f>
        <v>0</v>
      </c>
      <c r="L35" s="50"/>
      <c r="M35" s="449">
        <f>ApV!K62</f>
        <v>0</v>
      </c>
      <c r="N35" s="425"/>
      <c r="O35" s="441"/>
      <c r="P35" s="441" t="s">
        <v>3</v>
      </c>
      <c r="Q35" s="449" t="s">
        <v>3</v>
      </c>
      <c r="R35" s="51">
        <f t="shared" si="2"/>
        <v>3</v>
      </c>
      <c r="S35" s="800">
        <f t="shared" si="3"/>
        <v>490.8</v>
      </c>
      <c r="T35" s="136"/>
      <c r="U35" s="136"/>
    </row>
    <row r="36" spans="1:21" ht="17.25" customHeight="1">
      <c r="A36" s="44" t="s">
        <v>30</v>
      </c>
      <c r="B36" s="425">
        <v>6</v>
      </c>
      <c r="C36" s="804">
        <v>881.9</v>
      </c>
      <c r="D36" s="50" t="s">
        <v>3</v>
      </c>
      <c r="E36" s="428" t="s">
        <v>3</v>
      </c>
      <c r="F36" s="425">
        <f>ApV!D62</f>
        <v>0</v>
      </c>
      <c r="G36" s="50">
        <f>ApV!E62</f>
        <v>0</v>
      </c>
      <c r="H36" s="50">
        <f>ApV!F62</f>
        <v>0</v>
      </c>
      <c r="I36" s="449">
        <f>ApV!G62</f>
        <v>0</v>
      </c>
      <c r="J36" s="425">
        <f>ApV!H62</f>
        <v>0</v>
      </c>
      <c r="K36" s="50">
        <f>ApV!I62</f>
        <v>0</v>
      </c>
      <c r="L36" s="441">
        <f>ApV!J62</f>
        <v>164.3</v>
      </c>
      <c r="M36" s="50">
        <f>ApV!K62</f>
        <v>0</v>
      </c>
      <c r="N36" s="425" t="s">
        <v>3</v>
      </c>
      <c r="O36" s="50" t="s">
        <v>3</v>
      </c>
      <c r="P36" s="441" t="s">
        <v>3</v>
      </c>
      <c r="Q36" s="449" t="s">
        <v>3</v>
      </c>
      <c r="R36" s="51">
        <f t="shared" si="2"/>
        <v>6</v>
      </c>
      <c r="S36" s="800">
        <f t="shared" si="3"/>
        <v>1046.2</v>
      </c>
      <c r="T36" s="136"/>
      <c r="U36" s="136"/>
    </row>
    <row r="37" spans="1:21" ht="17.25" customHeight="1">
      <c r="A37" s="44" t="s">
        <v>31</v>
      </c>
      <c r="B37" s="425">
        <v>1</v>
      </c>
      <c r="C37" s="804">
        <v>181.7</v>
      </c>
      <c r="D37" s="50"/>
      <c r="E37" s="428"/>
      <c r="F37" s="425"/>
      <c r="G37" s="50"/>
      <c r="H37" s="50"/>
      <c r="I37" s="449"/>
      <c r="J37" s="425"/>
      <c r="K37" s="50"/>
      <c r="L37" s="441"/>
      <c r="M37" s="50"/>
      <c r="N37" s="425"/>
      <c r="O37" s="50"/>
      <c r="P37" s="441"/>
      <c r="Q37" s="449"/>
      <c r="R37" s="51">
        <f t="shared" si="2"/>
        <v>1</v>
      </c>
      <c r="S37" s="800">
        <f t="shared" si="3"/>
        <v>181.7</v>
      </c>
      <c r="T37" s="136"/>
      <c r="U37" s="136"/>
    </row>
    <row r="38" spans="1:21" ht="17.25" customHeight="1">
      <c r="A38" s="44" t="s">
        <v>33</v>
      </c>
      <c r="B38" s="425">
        <v>6</v>
      </c>
      <c r="C38" s="804">
        <v>815.9</v>
      </c>
      <c r="D38" s="50" t="s">
        <v>3</v>
      </c>
      <c r="E38" s="428" t="s">
        <v>3</v>
      </c>
      <c r="F38" s="425"/>
      <c r="G38" s="50"/>
      <c r="H38" s="50"/>
      <c r="I38" s="449"/>
      <c r="J38" s="425"/>
      <c r="K38" s="441"/>
      <c r="L38" s="50"/>
      <c r="M38" s="449"/>
      <c r="N38" s="425" t="s">
        <v>3</v>
      </c>
      <c r="O38" s="50" t="s">
        <v>3</v>
      </c>
      <c r="P38" s="441" t="s">
        <v>3</v>
      </c>
      <c r="Q38" s="449" t="s">
        <v>3</v>
      </c>
      <c r="R38" s="51">
        <f t="shared" si="2"/>
        <v>6</v>
      </c>
      <c r="S38" s="800">
        <f t="shared" si="3"/>
        <v>815.9</v>
      </c>
      <c r="T38" s="136"/>
      <c r="U38" s="136"/>
    </row>
    <row r="39" spans="1:21" ht="17.25" customHeight="1">
      <c r="A39" s="44" t="s">
        <v>34</v>
      </c>
      <c r="B39" s="425">
        <v>2</v>
      </c>
      <c r="C39" s="804">
        <v>343.3</v>
      </c>
      <c r="D39" s="50" t="s">
        <v>3</v>
      </c>
      <c r="E39" s="428" t="s">
        <v>3</v>
      </c>
      <c r="F39" s="425"/>
      <c r="G39" s="50"/>
      <c r="H39" s="50"/>
      <c r="I39" s="449"/>
      <c r="J39" s="425"/>
      <c r="K39" s="441"/>
      <c r="L39" s="50"/>
      <c r="M39" s="449"/>
      <c r="N39" s="425" t="s">
        <v>3</v>
      </c>
      <c r="O39" s="50" t="s">
        <v>3</v>
      </c>
      <c r="P39" s="441" t="s">
        <v>3</v>
      </c>
      <c r="Q39" s="449" t="s">
        <v>3</v>
      </c>
      <c r="R39" s="51">
        <f t="shared" si="2"/>
        <v>2</v>
      </c>
      <c r="S39" s="800">
        <f t="shared" si="3"/>
        <v>343.3</v>
      </c>
      <c r="T39" s="136"/>
      <c r="U39" s="136"/>
    </row>
    <row r="40" spans="1:21" ht="17.25" customHeight="1">
      <c r="A40" s="44" t="s">
        <v>35</v>
      </c>
      <c r="B40" s="425">
        <v>2</v>
      </c>
      <c r="C40" s="804">
        <v>338</v>
      </c>
      <c r="D40" s="50" t="s">
        <v>3</v>
      </c>
      <c r="E40" s="428">
        <v>305.6</v>
      </c>
      <c r="F40" s="425"/>
      <c r="G40" s="50"/>
      <c r="H40" s="50"/>
      <c r="I40" s="449"/>
      <c r="J40" s="425"/>
      <c r="K40" s="441"/>
      <c r="L40" s="50"/>
      <c r="M40" s="449"/>
      <c r="N40" s="425"/>
      <c r="O40" s="441"/>
      <c r="P40" s="441"/>
      <c r="Q40" s="449" t="s">
        <v>3</v>
      </c>
      <c r="R40" s="51">
        <f t="shared" si="2"/>
        <v>2</v>
      </c>
      <c r="S40" s="800">
        <f t="shared" si="3"/>
        <v>643.6</v>
      </c>
      <c r="T40" s="136"/>
      <c r="U40" s="136"/>
    </row>
    <row r="41" spans="1:21" ht="17.25" customHeight="1">
      <c r="A41" s="44" t="s">
        <v>37</v>
      </c>
      <c r="B41" s="425">
        <v>4</v>
      </c>
      <c r="C41" s="804">
        <v>627.2</v>
      </c>
      <c r="D41" s="50" t="s">
        <v>3</v>
      </c>
      <c r="E41" s="428" t="s">
        <v>3</v>
      </c>
      <c r="F41" s="425">
        <f>ApV!D86</f>
        <v>7</v>
      </c>
      <c r="G41" s="441">
        <f>ApV!E86</f>
        <v>72.05000000000001</v>
      </c>
      <c r="H41" s="50">
        <f>ApV!F86</f>
        <v>0</v>
      </c>
      <c r="I41" s="449">
        <f>ApV!G86</f>
        <v>0</v>
      </c>
      <c r="J41" s="425">
        <f>ApV!H86</f>
        <v>9</v>
      </c>
      <c r="K41" s="441">
        <f>ApV!I86</f>
        <v>1635.3</v>
      </c>
      <c r="L41" s="441">
        <f>ApV!J86</f>
        <v>539.7</v>
      </c>
      <c r="M41" s="449">
        <f>ApV!K86</f>
        <v>0</v>
      </c>
      <c r="N41" s="425" t="s">
        <v>3</v>
      </c>
      <c r="O41" s="50" t="s">
        <v>3</v>
      </c>
      <c r="P41" s="441" t="s">
        <v>3</v>
      </c>
      <c r="Q41" s="449" t="s">
        <v>3</v>
      </c>
      <c r="R41" s="51">
        <f>SUM(B41,H41,D41,F41)</f>
        <v>11</v>
      </c>
      <c r="S41" s="800">
        <f>SUM(C41,E41,G41,I41,K41,L41,M41,O41,P41,Q41)</f>
        <v>2874.25</v>
      </c>
      <c r="T41" s="136"/>
      <c r="U41" s="136"/>
    </row>
    <row r="42" spans="1:21" ht="17.25" customHeight="1">
      <c r="A42" s="44" t="s">
        <v>427</v>
      </c>
      <c r="B42" s="425">
        <v>2</v>
      </c>
      <c r="C42" s="804">
        <v>290.4</v>
      </c>
      <c r="D42" s="50"/>
      <c r="E42" s="428"/>
      <c r="F42" s="425"/>
      <c r="G42" s="441"/>
      <c r="H42" s="50"/>
      <c r="I42" s="449"/>
      <c r="J42" s="425"/>
      <c r="K42" s="441"/>
      <c r="L42" s="441"/>
      <c r="M42" s="449"/>
      <c r="N42" s="425"/>
      <c r="O42" s="50"/>
      <c r="P42" s="441"/>
      <c r="Q42" s="449"/>
      <c r="R42" s="51">
        <f>SUM(B42,H42,D42,F42)</f>
        <v>2</v>
      </c>
      <c r="S42" s="800">
        <f>SUM(C42,E42,G42,I42,K42,L42,M42,O42,P42,Q42)</f>
        <v>290.4</v>
      </c>
      <c r="T42" s="136"/>
      <c r="U42" s="136"/>
    </row>
    <row r="43" spans="1:21" ht="17.25" customHeight="1">
      <c r="A43" s="44" t="s">
        <v>38</v>
      </c>
      <c r="B43" s="425">
        <v>5</v>
      </c>
      <c r="C43" s="804">
        <v>298.7</v>
      </c>
      <c r="D43" s="50" t="s">
        <v>3</v>
      </c>
      <c r="E43" s="428" t="s">
        <v>3</v>
      </c>
      <c r="F43" s="425" t="s">
        <v>3</v>
      </c>
      <c r="G43" s="419" t="s">
        <v>3</v>
      </c>
      <c r="H43" s="50" t="s">
        <v>3</v>
      </c>
      <c r="I43" s="428" t="s">
        <v>3</v>
      </c>
      <c r="J43" s="425" t="s">
        <v>3</v>
      </c>
      <c r="K43" s="419" t="s">
        <v>3</v>
      </c>
      <c r="L43" s="50" t="s">
        <v>3</v>
      </c>
      <c r="M43" s="428" t="s">
        <v>3</v>
      </c>
      <c r="N43" s="425" t="s">
        <v>3</v>
      </c>
      <c r="O43" s="50" t="s">
        <v>3</v>
      </c>
      <c r="P43" s="441" t="s">
        <v>3</v>
      </c>
      <c r="Q43" s="449" t="s">
        <v>3</v>
      </c>
      <c r="R43" s="51">
        <f>SUM(B43,H43,D43,F43)</f>
        <v>5</v>
      </c>
      <c r="S43" s="800">
        <f>SUM(C43,E43,G43,I43,K43,L43,M43,O43,P43,Q43)</f>
        <v>298.7</v>
      </c>
      <c r="T43" s="136"/>
      <c r="U43" s="136"/>
    </row>
    <row r="44" spans="1:21" ht="17.25" customHeight="1">
      <c r="A44" s="44" t="s">
        <v>124</v>
      </c>
      <c r="B44" s="425">
        <v>3</v>
      </c>
      <c r="C44" s="804">
        <v>475.6</v>
      </c>
      <c r="D44" s="50" t="s">
        <v>3</v>
      </c>
      <c r="E44" s="428" t="s">
        <v>3</v>
      </c>
      <c r="F44" s="425"/>
      <c r="G44" s="50"/>
      <c r="H44" s="50"/>
      <c r="I44" s="449"/>
      <c r="J44" s="425"/>
      <c r="K44" s="441"/>
      <c r="L44" s="50"/>
      <c r="M44" s="449"/>
      <c r="N44" s="425"/>
      <c r="O44" s="441"/>
      <c r="P44" s="441" t="s">
        <v>3</v>
      </c>
      <c r="Q44" s="449" t="s">
        <v>3</v>
      </c>
      <c r="R44" s="51">
        <f>SUM(B44,H44,D44,F44)</f>
        <v>3</v>
      </c>
      <c r="S44" s="800">
        <f>SUM(C44,E44,G44,I44,K44,L44,M44,O44,P44,Q44)</f>
        <v>475.6</v>
      </c>
      <c r="T44" s="136"/>
      <c r="U44" s="136"/>
    </row>
    <row r="45" spans="1:24" s="263" customFormat="1" ht="17.25" customHeight="1">
      <c r="A45" s="49" t="s">
        <v>40</v>
      </c>
      <c r="B45" s="426">
        <v>2</v>
      </c>
      <c r="C45" s="805">
        <v>324.8</v>
      </c>
      <c r="D45" s="276" t="s">
        <v>3</v>
      </c>
      <c r="E45" s="429" t="s">
        <v>3</v>
      </c>
      <c r="F45" s="426" t="s">
        <v>3</v>
      </c>
      <c r="G45" s="420" t="s">
        <v>3</v>
      </c>
      <c r="H45" s="276" t="s">
        <v>3</v>
      </c>
      <c r="I45" s="429" t="s">
        <v>3</v>
      </c>
      <c r="J45" s="426" t="s">
        <v>3</v>
      </c>
      <c r="K45" s="420" t="s">
        <v>3</v>
      </c>
      <c r="L45" s="276" t="s">
        <v>3</v>
      </c>
      <c r="M45" s="429" t="s">
        <v>3</v>
      </c>
      <c r="N45" s="426" t="s">
        <v>3</v>
      </c>
      <c r="O45" s="276" t="s">
        <v>3</v>
      </c>
      <c r="P45" s="442" t="s">
        <v>3</v>
      </c>
      <c r="Q45" s="450" t="s">
        <v>3</v>
      </c>
      <c r="R45" s="782">
        <f>SUM(B45,H45,D45,F45)</f>
        <v>2</v>
      </c>
      <c r="S45" s="801">
        <f>SUM(C45,E45,G45,I45,K45,L45,M45,O45,P45,Q45)</f>
        <v>324.8</v>
      </c>
      <c r="T45" s="277"/>
      <c r="U45" s="277"/>
      <c r="V45" s="279"/>
      <c r="W45" s="279"/>
      <c r="X45" s="279"/>
    </row>
    <row r="46" spans="1:21" ht="17.25" customHeight="1">
      <c r="A46" s="527" t="s">
        <v>519</v>
      </c>
      <c r="B46" s="576"/>
      <c r="C46" s="525"/>
      <c r="D46" s="578"/>
      <c r="E46" s="579"/>
      <c r="F46" s="576"/>
      <c r="G46" s="577"/>
      <c r="H46" s="578"/>
      <c r="I46" s="579"/>
      <c r="J46" s="576"/>
      <c r="K46" s="577"/>
      <c r="L46" s="577"/>
      <c r="M46" s="579"/>
      <c r="N46" s="576"/>
      <c r="O46" s="578"/>
      <c r="P46" s="580"/>
      <c r="Q46" s="581"/>
      <c r="R46" s="575"/>
      <c r="S46" s="802"/>
      <c r="T46" s="136"/>
      <c r="U46" s="136"/>
    </row>
    <row r="47" spans="1:24" s="1041" customFormat="1" ht="17.25" customHeight="1">
      <c r="A47" s="245" t="s">
        <v>263</v>
      </c>
      <c r="B47" s="425">
        <v>2</v>
      </c>
      <c r="C47" s="804">
        <v>218.4</v>
      </c>
      <c r="D47" s="50" t="s">
        <v>3</v>
      </c>
      <c r="E47" s="428" t="s">
        <v>3</v>
      </c>
      <c r="F47" s="425" t="s">
        <v>3</v>
      </c>
      <c r="G47" s="419" t="s">
        <v>3</v>
      </c>
      <c r="H47" s="50" t="s">
        <v>3</v>
      </c>
      <c r="I47" s="428" t="s">
        <v>3</v>
      </c>
      <c r="J47" s="425" t="s">
        <v>3</v>
      </c>
      <c r="K47" s="419" t="s">
        <v>3</v>
      </c>
      <c r="L47" s="419" t="s">
        <v>3</v>
      </c>
      <c r="M47" s="428" t="s">
        <v>3</v>
      </c>
      <c r="N47" s="425" t="s">
        <v>3</v>
      </c>
      <c r="O47" s="50" t="s">
        <v>3</v>
      </c>
      <c r="P47" s="441" t="s">
        <v>3</v>
      </c>
      <c r="Q47" s="449" t="s">
        <v>3</v>
      </c>
      <c r="R47" s="51">
        <f>SUM(B47,H47,D47,F47)</f>
        <v>2</v>
      </c>
      <c r="S47" s="479">
        <f>SUM(C47,E47,G47,I47,K47,L47,M47,O47,P47,Q47)</f>
        <v>218.4</v>
      </c>
      <c r="T47" s="1039"/>
      <c r="U47" s="1039"/>
      <c r="V47" s="1040"/>
      <c r="W47" s="1040"/>
      <c r="X47" s="1040"/>
    </row>
    <row r="48" spans="1:24" s="1041" customFormat="1" ht="17.25" customHeight="1">
      <c r="A48" s="245" t="s">
        <v>424</v>
      </c>
      <c r="B48" s="425">
        <v>1</v>
      </c>
      <c r="C48" s="804">
        <v>65.8</v>
      </c>
      <c r="D48" s="50" t="s">
        <v>3</v>
      </c>
      <c r="E48" s="428" t="s">
        <v>3</v>
      </c>
      <c r="F48" s="425" t="s">
        <v>3</v>
      </c>
      <c r="G48" s="419" t="s">
        <v>3</v>
      </c>
      <c r="H48" s="50" t="s">
        <v>3</v>
      </c>
      <c r="I48" s="428" t="s">
        <v>3</v>
      </c>
      <c r="J48" s="425" t="s">
        <v>3</v>
      </c>
      <c r="K48" s="419" t="s">
        <v>3</v>
      </c>
      <c r="L48" s="419" t="s">
        <v>3</v>
      </c>
      <c r="M48" s="428" t="s">
        <v>3</v>
      </c>
      <c r="N48" s="425" t="s">
        <v>3</v>
      </c>
      <c r="O48" s="50" t="s">
        <v>3</v>
      </c>
      <c r="P48" s="441" t="s">
        <v>3</v>
      </c>
      <c r="Q48" s="449" t="s">
        <v>3</v>
      </c>
      <c r="R48" s="51">
        <f>SUM(B48,H48,D48,F48)</f>
        <v>1</v>
      </c>
      <c r="S48" s="479">
        <f>SUM(C48,E48,G48,I48,K48,L48,M48,O48,P48,Q48)</f>
        <v>65.8</v>
      </c>
      <c r="T48" s="1039"/>
      <c r="U48" s="1039"/>
      <c r="V48" s="1040"/>
      <c r="W48" s="1040"/>
      <c r="X48" s="1040"/>
    </row>
    <row r="49" spans="1:24" s="1041" customFormat="1" ht="17.25" customHeight="1">
      <c r="A49" s="245" t="s">
        <v>425</v>
      </c>
      <c r="B49" s="425">
        <v>1</v>
      </c>
      <c r="C49" s="804">
        <v>131.9</v>
      </c>
      <c r="D49" s="50" t="s">
        <v>3</v>
      </c>
      <c r="E49" s="428" t="s">
        <v>3</v>
      </c>
      <c r="F49" s="425" t="s">
        <v>3</v>
      </c>
      <c r="G49" s="419" t="s">
        <v>3</v>
      </c>
      <c r="H49" s="50" t="s">
        <v>3</v>
      </c>
      <c r="I49" s="428" t="s">
        <v>3</v>
      </c>
      <c r="J49" s="425" t="s">
        <v>3</v>
      </c>
      <c r="K49" s="419" t="s">
        <v>3</v>
      </c>
      <c r="L49" s="419" t="s">
        <v>3</v>
      </c>
      <c r="M49" s="428" t="s">
        <v>3</v>
      </c>
      <c r="N49" s="425" t="s">
        <v>3</v>
      </c>
      <c r="O49" s="50" t="s">
        <v>3</v>
      </c>
      <c r="P49" s="441" t="s">
        <v>3</v>
      </c>
      <c r="Q49" s="449" t="s">
        <v>3</v>
      </c>
      <c r="R49" s="51">
        <f>SUM(B49,H49,D49,F49)</f>
        <v>1</v>
      </c>
      <c r="S49" s="479">
        <f>SUM(C49,E49,G49,I49,K49,L49,M49,O49,P49,Q49)</f>
        <v>131.9</v>
      </c>
      <c r="T49" s="1039"/>
      <c r="U49" s="1039"/>
      <c r="V49" s="1040"/>
      <c r="W49" s="1040"/>
      <c r="X49" s="1040"/>
    </row>
    <row r="50" spans="1:24" s="786" customFormat="1" ht="17.25" customHeight="1">
      <c r="A50" s="783" t="s">
        <v>23</v>
      </c>
      <c r="B50" s="426">
        <v>1</v>
      </c>
      <c r="C50" s="805">
        <v>122.6</v>
      </c>
      <c r="D50" s="276" t="s">
        <v>3</v>
      </c>
      <c r="E50" s="429" t="s">
        <v>3</v>
      </c>
      <c r="F50" s="426" t="s">
        <v>3</v>
      </c>
      <c r="G50" s="420" t="s">
        <v>3</v>
      </c>
      <c r="H50" s="276" t="s">
        <v>3</v>
      </c>
      <c r="I50" s="429" t="s">
        <v>3</v>
      </c>
      <c r="J50" s="426" t="s">
        <v>3</v>
      </c>
      <c r="K50" s="420" t="s">
        <v>3</v>
      </c>
      <c r="L50" s="420" t="s">
        <v>3</v>
      </c>
      <c r="M50" s="429" t="s">
        <v>3</v>
      </c>
      <c r="N50" s="426" t="s">
        <v>3</v>
      </c>
      <c r="O50" s="276" t="s">
        <v>3</v>
      </c>
      <c r="P50" s="442" t="s">
        <v>3</v>
      </c>
      <c r="Q50" s="450" t="s">
        <v>3</v>
      </c>
      <c r="R50" s="782">
        <f>SUM(B50,H50,D50,F50)</f>
        <v>1</v>
      </c>
      <c r="S50" s="801">
        <f>SUM(C50,E50,G50,I50,K50,L50,M50,O50,P50,Q50)</f>
        <v>122.6</v>
      </c>
      <c r="T50" s="784"/>
      <c r="U50" s="784"/>
      <c r="V50" s="785"/>
      <c r="W50" s="785"/>
      <c r="X50" s="785"/>
    </row>
    <row r="51" spans="1:21" ht="18.75" customHeight="1">
      <c r="A51" s="527" t="s">
        <v>520</v>
      </c>
      <c r="B51" s="576"/>
      <c r="C51" s="525"/>
      <c r="D51" s="578"/>
      <c r="E51" s="579"/>
      <c r="F51" s="576"/>
      <c r="G51" s="577"/>
      <c r="H51" s="578"/>
      <c r="I51" s="579"/>
      <c r="J51" s="576"/>
      <c r="K51" s="577"/>
      <c r="L51" s="577"/>
      <c r="M51" s="579"/>
      <c r="N51" s="576"/>
      <c r="O51" s="578"/>
      <c r="P51" s="580"/>
      <c r="Q51" s="581"/>
      <c r="R51" s="575"/>
      <c r="S51" s="522"/>
      <c r="T51" s="136"/>
      <c r="U51" s="136"/>
    </row>
    <row r="52" spans="1:21" ht="18.75" customHeight="1">
      <c r="A52" s="44" t="s">
        <v>136</v>
      </c>
      <c r="B52" s="425">
        <v>4</v>
      </c>
      <c r="C52" s="804">
        <v>580.3</v>
      </c>
      <c r="D52" s="50" t="s">
        <v>3</v>
      </c>
      <c r="E52" s="428" t="s">
        <v>3</v>
      </c>
      <c r="F52" s="425" t="s">
        <v>3</v>
      </c>
      <c r="G52" s="419" t="s">
        <v>3</v>
      </c>
      <c r="H52" s="50" t="s">
        <v>3</v>
      </c>
      <c r="I52" s="428" t="s">
        <v>3</v>
      </c>
      <c r="J52" s="425" t="s">
        <v>3</v>
      </c>
      <c r="K52" s="419" t="s">
        <v>3</v>
      </c>
      <c r="L52" s="419" t="s">
        <v>3</v>
      </c>
      <c r="M52" s="428" t="s">
        <v>3</v>
      </c>
      <c r="N52" s="425" t="s">
        <v>3</v>
      </c>
      <c r="O52" s="50" t="s">
        <v>3</v>
      </c>
      <c r="P52" s="441" t="s">
        <v>3</v>
      </c>
      <c r="Q52" s="449" t="s">
        <v>3</v>
      </c>
      <c r="R52" s="51">
        <f aca="true" t="shared" si="4" ref="R52:R64">SUM(B52,H52,D52,F52)</f>
        <v>4</v>
      </c>
      <c r="S52" s="800">
        <f aca="true" t="shared" si="5" ref="S52:S64">SUM(C52,E52,G52,I52,K52,L52,M52,O52,P52,Q52)</f>
        <v>580.3</v>
      </c>
      <c r="T52" s="136"/>
      <c r="U52" s="136"/>
    </row>
    <row r="53" spans="1:21" ht="17.25" customHeight="1">
      <c r="A53" s="44" t="s">
        <v>164</v>
      </c>
      <c r="B53" s="425">
        <v>2</v>
      </c>
      <c r="C53" s="804">
        <v>459.3</v>
      </c>
      <c r="D53" s="50" t="s">
        <v>3</v>
      </c>
      <c r="E53" s="428" t="s">
        <v>3</v>
      </c>
      <c r="F53" s="425">
        <f>ApV!D15</f>
        <v>5</v>
      </c>
      <c r="G53" s="441">
        <f>ApV!E15</f>
        <v>655.93</v>
      </c>
      <c r="H53" s="50">
        <f>ApV!F15</f>
        <v>0</v>
      </c>
      <c r="I53" s="449">
        <f>ApV!G15</f>
        <v>0</v>
      </c>
      <c r="J53" s="425">
        <f>ApV!H15</f>
        <v>5</v>
      </c>
      <c r="K53" s="441">
        <f>ApV!I15</f>
        <v>422.5</v>
      </c>
      <c r="L53" s="50">
        <f>ApV!J15</f>
        <v>0</v>
      </c>
      <c r="M53" s="50">
        <f>ApV!K15</f>
        <v>0</v>
      </c>
      <c r="N53" s="425" t="s">
        <v>3</v>
      </c>
      <c r="O53" s="50" t="s">
        <v>3</v>
      </c>
      <c r="P53" s="441" t="s">
        <v>3</v>
      </c>
      <c r="Q53" s="449" t="s">
        <v>3</v>
      </c>
      <c r="R53" s="51">
        <f t="shared" si="4"/>
        <v>7</v>
      </c>
      <c r="S53" s="800">
        <f t="shared" si="5"/>
        <v>1537.73</v>
      </c>
      <c r="T53" s="136"/>
      <c r="U53" s="136"/>
    </row>
    <row r="54" spans="1:21" ht="17.25" customHeight="1">
      <c r="A54" s="44" t="s">
        <v>42</v>
      </c>
      <c r="B54" s="425">
        <v>2</v>
      </c>
      <c r="C54" s="804">
        <v>461.8</v>
      </c>
      <c r="D54" s="50" t="s">
        <v>3</v>
      </c>
      <c r="E54" s="428" t="s">
        <v>3</v>
      </c>
      <c r="F54" s="425" t="s">
        <v>3</v>
      </c>
      <c r="G54" s="419" t="s">
        <v>3</v>
      </c>
      <c r="H54" s="50" t="s">
        <v>3</v>
      </c>
      <c r="I54" s="428" t="s">
        <v>3</v>
      </c>
      <c r="J54" s="425" t="s">
        <v>3</v>
      </c>
      <c r="K54" s="419" t="s">
        <v>3</v>
      </c>
      <c r="L54" s="419" t="s">
        <v>3</v>
      </c>
      <c r="M54" s="428" t="s">
        <v>3</v>
      </c>
      <c r="N54" s="425" t="s">
        <v>3</v>
      </c>
      <c r="O54" s="50" t="s">
        <v>3</v>
      </c>
      <c r="P54" s="441" t="s">
        <v>3</v>
      </c>
      <c r="Q54" s="449" t="s">
        <v>3</v>
      </c>
      <c r="R54" s="51">
        <f t="shared" si="4"/>
        <v>2</v>
      </c>
      <c r="S54" s="800">
        <f t="shared" si="5"/>
        <v>461.8</v>
      </c>
      <c r="T54" s="136"/>
      <c r="U54" s="136"/>
    </row>
    <row r="55" spans="1:21" ht="17.25" customHeight="1">
      <c r="A55" s="44" t="s">
        <v>147</v>
      </c>
      <c r="B55" s="425">
        <v>1</v>
      </c>
      <c r="C55" s="804">
        <v>265.4</v>
      </c>
      <c r="D55" s="50" t="s">
        <v>3</v>
      </c>
      <c r="E55" s="428" t="s">
        <v>3</v>
      </c>
      <c r="F55" s="425" t="s">
        <v>3</v>
      </c>
      <c r="G55" s="419" t="s">
        <v>3</v>
      </c>
      <c r="H55" s="50" t="s">
        <v>3</v>
      </c>
      <c r="I55" s="428" t="s">
        <v>3</v>
      </c>
      <c r="J55" s="425" t="s">
        <v>3</v>
      </c>
      <c r="K55" s="419" t="s">
        <v>3</v>
      </c>
      <c r="L55" s="419" t="s">
        <v>3</v>
      </c>
      <c r="M55" s="428" t="s">
        <v>3</v>
      </c>
      <c r="N55" s="425" t="s">
        <v>3</v>
      </c>
      <c r="O55" s="50" t="s">
        <v>3</v>
      </c>
      <c r="P55" s="441" t="s">
        <v>3</v>
      </c>
      <c r="Q55" s="449" t="s">
        <v>3</v>
      </c>
      <c r="R55" s="51">
        <f t="shared" si="4"/>
        <v>1</v>
      </c>
      <c r="S55" s="800">
        <f t="shared" si="5"/>
        <v>265.4</v>
      </c>
      <c r="T55" s="136"/>
      <c r="U55" s="136"/>
    </row>
    <row r="56" spans="1:21" ht="17.25" customHeight="1">
      <c r="A56" s="44" t="s">
        <v>165</v>
      </c>
      <c r="B56" s="425">
        <v>1</v>
      </c>
      <c r="C56" s="804">
        <v>242.3</v>
      </c>
      <c r="D56" s="50" t="s">
        <v>3</v>
      </c>
      <c r="E56" s="428" t="s">
        <v>3</v>
      </c>
      <c r="F56" s="425" t="s">
        <v>3</v>
      </c>
      <c r="G56" s="419" t="s">
        <v>3</v>
      </c>
      <c r="H56" s="50" t="s">
        <v>3</v>
      </c>
      <c r="I56" s="428" t="s">
        <v>3</v>
      </c>
      <c r="J56" s="425" t="s">
        <v>3</v>
      </c>
      <c r="K56" s="419" t="s">
        <v>3</v>
      </c>
      <c r="L56" s="419" t="s">
        <v>3</v>
      </c>
      <c r="M56" s="428" t="s">
        <v>3</v>
      </c>
      <c r="N56" s="425" t="s">
        <v>3</v>
      </c>
      <c r="O56" s="50" t="s">
        <v>3</v>
      </c>
      <c r="P56" s="441" t="s">
        <v>3</v>
      </c>
      <c r="Q56" s="449" t="s">
        <v>3</v>
      </c>
      <c r="R56" s="51">
        <f t="shared" si="4"/>
        <v>1</v>
      </c>
      <c r="S56" s="800">
        <f t="shared" si="5"/>
        <v>242.3</v>
      </c>
      <c r="T56" s="136"/>
      <c r="U56" s="136"/>
    </row>
    <row r="57" spans="1:22" ht="17.25" customHeight="1">
      <c r="A57" s="44" t="s">
        <v>45</v>
      </c>
      <c r="B57" s="425">
        <v>1</v>
      </c>
      <c r="C57" s="804">
        <v>228.1</v>
      </c>
      <c r="D57" s="50" t="s">
        <v>3</v>
      </c>
      <c r="E57" s="428" t="s">
        <v>3</v>
      </c>
      <c r="F57" s="425" t="s">
        <v>3</v>
      </c>
      <c r="G57" s="419" t="s">
        <v>3</v>
      </c>
      <c r="H57" s="50" t="s">
        <v>3</v>
      </c>
      <c r="I57" s="428" t="s">
        <v>3</v>
      </c>
      <c r="J57" s="425" t="s">
        <v>3</v>
      </c>
      <c r="K57" s="419" t="s">
        <v>3</v>
      </c>
      <c r="L57" s="419" t="s">
        <v>3</v>
      </c>
      <c r="M57" s="428" t="s">
        <v>3</v>
      </c>
      <c r="N57" s="425" t="s">
        <v>3</v>
      </c>
      <c r="O57" s="50" t="s">
        <v>3</v>
      </c>
      <c r="P57" s="441" t="s">
        <v>3</v>
      </c>
      <c r="Q57" s="449" t="s">
        <v>3</v>
      </c>
      <c r="R57" s="51">
        <f t="shared" si="4"/>
        <v>1</v>
      </c>
      <c r="S57" s="800">
        <f t="shared" si="5"/>
        <v>228.1</v>
      </c>
      <c r="T57" s="136"/>
      <c r="U57" s="136"/>
      <c r="V57" s="137"/>
    </row>
    <row r="58" spans="1:24" s="247" customFormat="1" ht="17.25" customHeight="1">
      <c r="A58" s="245" t="s">
        <v>46</v>
      </c>
      <c r="B58" s="425">
        <v>2</v>
      </c>
      <c r="C58" s="804">
        <v>493</v>
      </c>
      <c r="D58" s="50" t="s">
        <v>3</v>
      </c>
      <c r="E58" s="428" t="s">
        <v>3</v>
      </c>
      <c r="F58" s="425">
        <f>ApV!D82</f>
        <v>0</v>
      </c>
      <c r="G58" s="50">
        <f>ApV!E82</f>
        <v>0</v>
      </c>
      <c r="H58" s="50">
        <f>ApV!F82</f>
        <v>2</v>
      </c>
      <c r="I58" s="448">
        <f>ApV!G82</f>
        <v>236.1</v>
      </c>
      <c r="J58" s="425">
        <f>ApV!H82</f>
        <v>0</v>
      </c>
      <c r="K58" s="50">
        <f>ApV!I82</f>
        <v>0</v>
      </c>
      <c r="L58" s="50">
        <f>ApV!J82</f>
        <v>0</v>
      </c>
      <c r="M58" s="50">
        <f>ApV!K82</f>
        <v>0</v>
      </c>
      <c r="N58" s="425" t="s">
        <v>3</v>
      </c>
      <c r="O58" s="50" t="s">
        <v>3</v>
      </c>
      <c r="P58" s="441" t="s">
        <v>3</v>
      </c>
      <c r="Q58" s="449" t="s">
        <v>3</v>
      </c>
      <c r="R58" s="51">
        <f t="shared" si="4"/>
        <v>4</v>
      </c>
      <c r="S58" s="800">
        <f t="shared" si="5"/>
        <v>729.1</v>
      </c>
      <c r="T58" s="246"/>
      <c r="U58" s="246"/>
      <c r="V58" s="209"/>
      <c r="W58" s="209"/>
      <c r="X58" s="209"/>
    </row>
    <row r="59" spans="1:21" ht="17.25" customHeight="1">
      <c r="A59" s="44" t="s">
        <v>47</v>
      </c>
      <c r="B59" s="425">
        <v>2</v>
      </c>
      <c r="C59" s="804">
        <v>524.6</v>
      </c>
      <c r="D59" s="50" t="s">
        <v>3</v>
      </c>
      <c r="E59" s="428" t="s">
        <v>3</v>
      </c>
      <c r="F59" s="425" t="s">
        <v>3</v>
      </c>
      <c r="G59" s="419" t="s">
        <v>3</v>
      </c>
      <c r="H59" s="50" t="s">
        <v>3</v>
      </c>
      <c r="I59" s="428" t="s">
        <v>3</v>
      </c>
      <c r="J59" s="425" t="s">
        <v>3</v>
      </c>
      <c r="K59" s="419" t="s">
        <v>3</v>
      </c>
      <c r="L59" s="419" t="s">
        <v>3</v>
      </c>
      <c r="M59" s="428" t="s">
        <v>3</v>
      </c>
      <c r="N59" s="425" t="s">
        <v>3</v>
      </c>
      <c r="O59" s="50" t="s">
        <v>3</v>
      </c>
      <c r="P59" s="441" t="s">
        <v>3</v>
      </c>
      <c r="Q59" s="449" t="s">
        <v>3</v>
      </c>
      <c r="R59" s="51">
        <f t="shared" si="4"/>
        <v>2</v>
      </c>
      <c r="S59" s="800">
        <f t="shared" si="5"/>
        <v>524.6</v>
      </c>
      <c r="T59" s="136"/>
      <c r="U59" s="136"/>
    </row>
    <row r="60" spans="1:21" ht="17.25" customHeight="1">
      <c r="A60" s="44" t="s">
        <v>116</v>
      </c>
      <c r="B60" s="425">
        <v>1</v>
      </c>
      <c r="C60" s="804">
        <v>178.7</v>
      </c>
      <c r="D60" s="50" t="s">
        <v>3</v>
      </c>
      <c r="E60" s="428" t="s">
        <v>3</v>
      </c>
      <c r="F60" s="425" t="s">
        <v>3</v>
      </c>
      <c r="G60" s="419" t="s">
        <v>3</v>
      </c>
      <c r="H60" s="50" t="s">
        <v>3</v>
      </c>
      <c r="I60" s="428" t="s">
        <v>3</v>
      </c>
      <c r="J60" s="425" t="s">
        <v>3</v>
      </c>
      <c r="K60" s="419" t="s">
        <v>3</v>
      </c>
      <c r="L60" s="419" t="s">
        <v>3</v>
      </c>
      <c r="M60" s="428" t="s">
        <v>3</v>
      </c>
      <c r="N60" s="425" t="s">
        <v>3</v>
      </c>
      <c r="O60" s="50" t="s">
        <v>3</v>
      </c>
      <c r="P60" s="441" t="s">
        <v>3</v>
      </c>
      <c r="Q60" s="449" t="s">
        <v>3</v>
      </c>
      <c r="R60" s="51">
        <f t="shared" si="4"/>
        <v>1</v>
      </c>
      <c r="S60" s="800">
        <f t="shared" si="5"/>
        <v>178.7</v>
      </c>
      <c r="T60" s="136"/>
      <c r="U60" s="136"/>
    </row>
    <row r="61" spans="1:24" s="263" customFormat="1" ht="17.25" customHeight="1">
      <c r="A61" s="49" t="s">
        <v>135</v>
      </c>
      <c r="B61" s="426">
        <v>1</v>
      </c>
      <c r="C61" s="805">
        <v>295.8</v>
      </c>
      <c r="D61" s="276" t="s">
        <v>3</v>
      </c>
      <c r="E61" s="429" t="s">
        <v>3</v>
      </c>
      <c r="F61" s="426" t="s">
        <v>3</v>
      </c>
      <c r="G61" s="420" t="s">
        <v>3</v>
      </c>
      <c r="H61" s="276" t="s">
        <v>3</v>
      </c>
      <c r="I61" s="429" t="s">
        <v>3</v>
      </c>
      <c r="J61" s="426" t="s">
        <v>3</v>
      </c>
      <c r="K61" s="420" t="s">
        <v>3</v>
      </c>
      <c r="L61" s="420" t="s">
        <v>3</v>
      </c>
      <c r="M61" s="429" t="s">
        <v>3</v>
      </c>
      <c r="N61" s="426" t="s">
        <v>3</v>
      </c>
      <c r="O61" s="276" t="s">
        <v>3</v>
      </c>
      <c r="P61" s="442" t="s">
        <v>3</v>
      </c>
      <c r="Q61" s="450" t="s">
        <v>3</v>
      </c>
      <c r="R61" s="782">
        <f t="shared" si="4"/>
        <v>1</v>
      </c>
      <c r="S61" s="801">
        <f t="shared" si="5"/>
        <v>295.8</v>
      </c>
      <c r="T61" s="277"/>
      <c r="U61" s="277"/>
      <c r="V61" s="278"/>
      <c r="W61" s="279"/>
      <c r="X61" s="279"/>
    </row>
    <row r="62" spans="1:24" s="52" customFormat="1" ht="17.25" customHeight="1">
      <c r="A62" s="527" t="s">
        <v>498</v>
      </c>
      <c r="B62" s="1035" t="s">
        <v>3</v>
      </c>
      <c r="C62" s="1036" t="s">
        <v>3</v>
      </c>
      <c r="D62" s="1036" t="s">
        <v>3</v>
      </c>
      <c r="E62" s="1037" t="s">
        <v>3</v>
      </c>
      <c r="F62" s="777">
        <f>ApV!D105</f>
        <v>0</v>
      </c>
      <c r="G62" s="580">
        <f>ApV!E105</f>
        <v>0</v>
      </c>
      <c r="H62" s="580">
        <f>ApV!F105</f>
        <v>0</v>
      </c>
      <c r="I62" s="582">
        <f>ApV!G105</f>
        <v>0</v>
      </c>
      <c r="J62" s="777">
        <f>ApV!H105</f>
        <v>0</v>
      </c>
      <c r="K62" s="580">
        <f>ApV!I105</f>
        <v>0</v>
      </c>
      <c r="L62" s="580">
        <f>ApV!J105</f>
        <v>0</v>
      </c>
      <c r="M62" s="580"/>
      <c r="N62" s="578"/>
      <c r="O62" s="580"/>
      <c r="P62" s="580"/>
      <c r="Q62" s="582"/>
      <c r="R62" s="575">
        <f t="shared" si="4"/>
        <v>0</v>
      </c>
      <c r="S62" s="802">
        <f t="shared" si="5"/>
        <v>0</v>
      </c>
      <c r="T62" s="136"/>
      <c r="U62" s="136"/>
      <c r="W62" s="135"/>
      <c r="X62" s="135"/>
    </row>
    <row r="63" spans="1:24" s="263" customFormat="1" ht="17.25" customHeight="1">
      <c r="A63" s="49" t="s">
        <v>421</v>
      </c>
      <c r="B63" s="426"/>
      <c r="C63" s="805"/>
      <c r="D63" s="276">
        <v>1</v>
      </c>
      <c r="E63" s="429">
        <v>346.5</v>
      </c>
      <c r="F63" s="426" t="s">
        <v>3</v>
      </c>
      <c r="G63" s="420" t="s">
        <v>3</v>
      </c>
      <c r="H63" s="276" t="s">
        <v>3</v>
      </c>
      <c r="I63" s="429" t="s">
        <v>3</v>
      </c>
      <c r="J63" s="426" t="s">
        <v>3</v>
      </c>
      <c r="K63" s="420" t="s">
        <v>3</v>
      </c>
      <c r="L63" s="420" t="s">
        <v>3</v>
      </c>
      <c r="M63" s="429" t="s">
        <v>3</v>
      </c>
      <c r="N63" s="426" t="s">
        <v>3</v>
      </c>
      <c r="O63" s="276" t="s">
        <v>3</v>
      </c>
      <c r="P63" s="442" t="s">
        <v>3</v>
      </c>
      <c r="Q63" s="450" t="s">
        <v>3</v>
      </c>
      <c r="R63" s="782">
        <f t="shared" si="4"/>
        <v>1</v>
      </c>
      <c r="S63" s="801">
        <f t="shared" si="5"/>
        <v>346.5</v>
      </c>
      <c r="T63" s="277"/>
      <c r="U63" s="277"/>
      <c r="V63" s="278"/>
      <c r="W63" s="279"/>
      <c r="X63" s="279"/>
    </row>
    <row r="64" spans="1:24" s="52" customFormat="1" ht="17.25" customHeight="1" thickBot="1">
      <c r="A64" s="563" t="s">
        <v>521</v>
      </c>
      <c r="B64" s="1042">
        <v>1</v>
      </c>
      <c r="C64" s="795">
        <v>62.7</v>
      </c>
      <c r="D64" s="795" t="s">
        <v>3</v>
      </c>
      <c r="E64" s="796" t="s">
        <v>3</v>
      </c>
      <c r="F64" s="1048">
        <f>ApV!D107</f>
        <v>0</v>
      </c>
      <c r="G64" s="1049">
        <f>ApV!E107</f>
        <v>0</v>
      </c>
      <c r="H64" s="1049">
        <f>ApV!F107</f>
        <v>0</v>
      </c>
      <c r="I64" s="1050">
        <f>ApV!G107</f>
        <v>0</v>
      </c>
      <c r="J64" s="1048">
        <f>ApV!H107</f>
        <v>0</v>
      </c>
      <c r="K64" s="1049">
        <f>ApV!I107</f>
        <v>0</v>
      </c>
      <c r="L64" s="1049">
        <f>ApV!J107</f>
        <v>0</v>
      </c>
      <c r="M64" s="1050">
        <f>ApV!K107</f>
        <v>3276</v>
      </c>
      <c r="N64" s="578"/>
      <c r="O64" s="580"/>
      <c r="P64" s="580"/>
      <c r="Q64" s="582"/>
      <c r="R64" s="575">
        <f t="shared" si="4"/>
        <v>1</v>
      </c>
      <c r="S64" s="802">
        <f t="shared" si="5"/>
        <v>3338.7</v>
      </c>
      <c r="T64" s="136"/>
      <c r="U64" s="136"/>
      <c r="W64" s="135"/>
      <c r="X64" s="135"/>
    </row>
    <row r="65" spans="1:24" s="791" customFormat="1" ht="17.25" customHeight="1" thickBot="1">
      <c r="A65" s="787" t="s">
        <v>507</v>
      </c>
      <c r="B65" s="427">
        <f aca="true" t="shared" si="6" ref="B65:S65">SUM(B6:B64)</f>
        <v>444</v>
      </c>
      <c r="C65" s="793">
        <f t="shared" si="6"/>
        <v>43763.80000000002</v>
      </c>
      <c r="D65" s="186">
        <f t="shared" si="6"/>
        <v>135</v>
      </c>
      <c r="E65" s="794">
        <f t="shared" si="6"/>
        <v>46199.399999999994</v>
      </c>
      <c r="F65" s="427">
        <f t="shared" si="6"/>
        <v>478</v>
      </c>
      <c r="G65" s="793">
        <f t="shared" si="6"/>
        <v>32346.69</v>
      </c>
      <c r="H65" s="186">
        <f t="shared" si="6"/>
        <v>59</v>
      </c>
      <c r="I65" s="788">
        <f t="shared" si="6"/>
        <v>11419.25</v>
      </c>
      <c r="J65" s="427">
        <f t="shared" si="6"/>
        <v>144</v>
      </c>
      <c r="K65" s="443">
        <f t="shared" si="6"/>
        <v>12190.67</v>
      </c>
      <c r="L65" s="421">
        <f t="shared" si="6"/>
        <v>20851.700000000004</v>
      </c>
      <c r="M65" s="794">
        <f t="shared" si="6"/>
        <v>44858.8</v>
      </c>
      <c r="N65" s="427">
        <f t="shared" si="6"/>
        <v>2</v>
      </c>
      <c r="O65" s="443">
        <f t="shared" si="6"/>
        <v>543.7</v>
      </c>
      <c r="P65" s="443">
        <f t="shared" si="6"/>
        <v>0</v>
      </c>
      <c r="Q65" s="469">
        <f t="shared" si="6"/>
        <v>0</v>
      </c>
      <c r="R65" s="459">
        <f t="shared" si="6"/>
        <v>1116</v>
      </c>
      <c r="S65" s="803">
        <f t="shared" si="6"/>
        <v>212174.00999999998</v>
      </c>
      <c r="T65" s="789"/>
      <c r="U65" s="790"/>
      <c r="W65" s="792"/>
      <c r="X65" s="792"/>
    </row>
    <row r="66" spans="1:24" s="52" customFormat="1" ht="17.25" customHeight="1">
      <c r="A66" s="9" t="s">
        <v>501</v>
      </c>
      <c r="B66" s="48"/>
      <c r="C66" s="422"/>
      <c r="D66" s="48"/>
      <c r="E66" s="422"/>
      <c r="F66" s="422"/>
      <c r="G66" s="422"/>
      <c r="H66" s="48"/>
      <c r="I66" s="422"/>
      <c r="J66" s="48"/>
      <c r="K66" s="422"/>
      <c r="L66" s="422"/>
      <c r="M66" s="422"/>
      <c r="N66" s="48"/>
      <c r="O66" s="48"/>
      <c r="P66" s="444"/>
      <c r="Q66" s="48"/>
      <c r="R66" s="48"/>
      <c r="S66" s="422"/>
      <c r="T66" s="51"/>
      <c r="W66" s="135"/>
      <c r="X66" s="135"/>
    </row>
    <row r="67" spans="1:24" s="55" customFormat="1" ht="17.25" customHeight="1">
      <c r="A67" s="9" t="s">
        <v>522</v>
      </c>
      <c r="B67" s="56"/>
      <c r="C67" s="423"/>
      <c r="D67" s="56"/>
      <c r="E67" s="423"/>
      <c r="F67" s="423"/>
      <c r="G67" s="423"/>
      <c r="H67" s="56"/>
      <c r="I67" s="423"/>
      <c r="J67" s="56"/>
      <c r="K67" s="423"/>
      <c r="L67" s="423"/>
      <c r="M67" s="423"/>
      <c r="N67" s="56"/>
      <c r="O67" s="56"/>
      <c r="P67" s="445"/>
      <c r="Q67" s="56"/>
      <c r="R67" s="56"/>
      <c r="S67" s="423"/>
      <c r="U67" s="56"/>
      <c r="V67" s="56"/>
      <c r="W67" s="56"/>
      <c r="X67" s="56"/>
    </row>
    <row r="68" spans="1:24" s="52" customFormat="1" ht="15.75" customHeight="1">
      <c r="A68" s="53"/>
      <c r="B68" s="54"/>
      <c r="C68" s="424"/>
      <c r="D68" s="54"/>
      <c r="E68" s="424"/>
      <c r="F68" s="424"/>
      <c r="G68" s="424"/>
      <c r="H68" s="54"/>
      <c r="I68" s="424"/>
      <c r="J68" s="54"/>
      <c r="K68" s="424"/>
      <c r="L68" s="424"/>
      <c r="M68" s="424"/>
      <c r="N68" s="54"/>
      <c r="O68" s="54"/>
      <c r="P68" s="446"/>
      <c r="Q68" s="135"/>
      <c r="R68" s="57"/>
      <c r="S68" s="440"/>
      <c r="T68" s="47"/>
      <c r="U68" s="135"/>
      <c r="V68" s="135"/>
      <c r="W68" s="135"/>
      <c r="X68" s="135"/>
    </row>
    <row r="69" spans="3:19" s="135" customFormat="1" ht="15.75" customHeight="1">
      <c r="C69" s="360"/>
      <c r="E69" s="360"/>
      <c r="F69" s="360"/>
      <c r="G69" s="360"/>
      <c r="I69" s="360"/>
      <c r="K69" s="360"/>
      <c r="L69" s="360"/>
      <c r="M69" s="360"/>
      <c r="P69" s="447"/>
      <c r="R69" s="57"/>
      <c r="S69" s="440"/>
    </row>
    <row r="70" spans="3:19" s="135" customFormat="1" ht="15.75" customHeight="1">
      <c r="C70" s="360"/>
      <c r="E70" s="360"/>
      <c r="F70" s="360"/>
      <c r="G70" s="360"/>
      <c r="I70" s="360"/>
      <c r="K70" s="360"/>
      <c r="L70" s="360"/>
      <c r="M70" s="360"/>
      <c r="P70" s="447"/>
      <c r="R70" s="57"/>
      <c r="S70" s="440"/>
    </row>
    <row r="71" spans="3:19" s="135" customFormat="1" ht="18" customHeight="1">
      <c r="C71" s="360"/>
      <c r="E71" s="360"/>
      <c r="F71" s="360"/>
      <c r="G71" s="360"/>
      <c r="I71" s="360"/>
      <c r="K71" s="360"/>
      <c r="L71" s="360"/>
      <c r="M71" s="360"/>
      <c r="P71" s="447"/>
      <c r="S71" s="360"/>
    </row>
    <row r="72" spans="3:19" s="135" customFormat="1" ht="18" customHeight="1">
      <c r="C72" s="360"/>
      <c r="E72" s="360"/>
      <c r="F72" s="360"/>
      <c r="G72" s="360"/>
      <c r="I72" s="360"/>
      <c r="K72" s="360"/>
      <c r="L72" s="360"/>
      <c r="M72" s="360"/>
      <c r="P72" s="447"/>
      <c r="S72" s="360"/>
    </row>
    <row r="73" spans="3:19" s="135" customFormat="1" ht="18" customHeight="1">
      <c r="C73" s="360"/>
      <c r="E73" s="360"/>
      <c r="F73" s="360"/>
      <c r="G73" s="360"/>
      <c r="I73" s="360"/>
      <c r="K73" s="360"/>
      <c r="L73" s="360"/>
      <c r="M73" s="360"/>
      <c r="P73" s="447"/>
      <c r="S73" s="360"/>
    </row>
    <row r="74" spans="3:19" s="135" customFormat="1" ht="16.5" customHeight="1">
      <c r="C74" s="360"/>
      <c r="E74" s="360"/>
      <c r="F74" s="360"/>
      <c r="G74" s="360"/>
      <c r="I74" s="360"/>
      <c r="K74" s="360"/>
      <c r="L74" s="360"/>
      <c r="M74" s="360"/>
      <c r="P74" s="447"/>
      <c r="S74" s="360"/>
    </row>
    <row r="75" spans="3:19" s="135" customFormat="1" ht="16.5" customHeight="1">
      <c r="C75" s="360"/>
      <c r="E75" s="360"/>
      <c r="F75" s="360"/>
      <c r="G75" s="360"/>
      <c r="I75" s="360"/>
      <c r="K75" s="360"/>
      <c r="L75" s="360"/>
      <c r="M75" s="360"/>
      <c r="P75" s="447"/>
      <c r="S75" s="360"/>
    </row>
    <row r="76" spans="3:19" s="135" customFormat="1" ht="16.5" customHeight="1">
      <c r="C76" s="360"/>
      <c r="E76" s="360"/>
      <c r="F76" s="360"/>
      <c r="G76" s="360"/>
      <c r="I76" s="360"/>
      <c r="K76" s="360"/>
      <c r="L76" s="360"/>
      <c r="M76" s="360"/>
      <c r="P76" s="447"/>
      <c r="S76" s="360"/>
    </row>
    <row r="77" spans="3:19" s="135" customFormat="1" ht="16.5" customHeight="1">
      <c r="C77" s="360"/>
      <c r="E77" s="360"/>
      <c r="F77" s="360"/>
      <c r="G77" s="360"/>
      <c r="I77" s="360"/>
      <c r="K77" s="360"/>
      <c r="L77" s="360"/>
      <c r="M77" s="360"/>
      <c r="P77" s="447"/>
      <c r="S77" s="360"/>
    </row>
    <row r="78" spans="3:19" s="135" customFormat="1" ht="16.5" customHeight="1">
      <c r="C78" s="360"/>
      <c r="E78" s="360"/>
      <c r="F78" s="360"/>
      <c r="G78" s="360"/>
      <c r="I78" s="360"/>
      <c r="K78" s="360"/>
      <c r="L78" s="360"/>
      <c r="M78" s="360"/>
      <c r="P78" s="447"/>
      <c r="S78" s="360"/>
    </row>
    <row r="79" spans="3:19" s="135" customFormat="1" ht="16.5" customHeight="1">
      <c r="C79" s="360"/>
      <c r="E79" s="360"/>
      <c r="F79" s="360"/>
      <c r="G79" s="360"/>
      <c r="I79" s="360"/>
      <c r="K79" s="360"/>
      <c r="L79" s="360"/>
      <c r="M79" s="360"/>
      <c r="P79" s="447"/>
      <c r="S79" s="360"/>
    </row>
    <row r="80" spans="3:19" s="135" customFormat="1" ht="16.5" customHeight="1">
      <c r="C80" s="360"/>
      <c r="E80" s="360"/>
      <c r="F80" s="360"/>
      <c r="G80" s="360"/>
      <c r="I80" s="360"/>
      <c r="K80" s="360"/>
      <c r="L80" s="360"/>
      <c r="M80" s="360"/>
      <c r="P80" s="447"/>
      <c r="S80" s="360"/>
    </row>
    <row r="81" spans="3:19" s="135" customFormat="1" ht="16.5" customHeight="1">
      <c r="C81" s="360"/>
      <c r="E81" s="360"/>
      <c r="F81" s="360"/>
      <c r="G81" s="360"/>
      <c r="I81" s="360"/>
      <c r="K81" s="360"/>
      <c r="L81" s="360"/>
      <c r="M81" s="360"/>
      <c r="P81" s="447"/>
      <c r="S81" s="360"/>
    </row>
    <row r="82" spans="3:19" s="135" customFormat="1" ht="17.25" customHeight="1">
      <c r="C82" s="360"/>
      <c r="E82" s="360"/>
      <c r="F82" s="360"/>
      <c r="G82" s="360"/>
      <c r="I82" s="360"/>
      <c r="K82" s="360"/>
      <c r="L82" s="360"/>
      <c r="M82" s="360"/>
      <c r="P82" s="447"/>
      <c r="S82" s="360"/>
    </row>
    <row r="83" spans="3:19" s="135" customFormat="1" ht="17.25" customHeight="1">
      <c r="C83" s="360"/>
      <c r="E83" s="360"/>
      <c r="F83" s="360"/>
      <c r="G83" s="360"/>
      <c r="I83" s="360"/>
      <c r="K83" s="360"/>
      <c r="L83" s="360"/>
      <c r="M83" s="360"/>
      <c r="P83" s="447"/>
      <c r="S83" s="360"/>
    </row>
    <row r="84" spans="3:19" s="135" customFormat="1" ht="17.25" customHeight="1">
      <c r="C84" s="360"/>
      <c r="E84" s="360"/>
      <c r="F84" s="360"/>
      <c r="G84" s="360"/>
      <c r="I84" s="360"/>
      <c r="K84" s="360"/>
      <c r="L84" s="360"/>
      <c r="M84" s="360"/>
      <c r="P84" s="447"/>
      <c r="S84" s="360"/>
    </row>
    <row r="85" spans="3:19" s="135" customFormat="1" ht="17.25" customHeight="1">
      <c r="C85" s="360"/>
      <c r="E85" s="360"/>
      <c r="F85" s="360"/>
      <c r="G85" s="360"/>
      <c r="I85" s="360"/>
      <c r="K85" s="360"/>
      <c r="L85" s="360"/>
      <c r="M85" s="360"/>
      <c r="P85" s="447"/>
      <c r="S85" s="360"/>
    </row>
    <row r="86" spans="3:19" s="135" customFormat="1" ht="16.5" customHeight="1">
      <c r="C86" s="360"/>
      <c r="E86" s="360"/>
      <c r="F86" s="360"/>
      <c r="G86" s="360"/>
      <c r="I86" s="360"/>
      <c r="K86" s="360"/>
      <c r="L86" s="360"/>
      <c r="M86" s="360"/>
      <c r="P86" s="447"/>
      <c r="S86" s="360"/>
    </row>
    <row r="87" spans="3:19" s="135" customFormat="1" ht="16.5" customHeight="1">
      <c r="C87" s="360"/>
      <c r="E87" s="360"/>
      <c r="F87" s="360"/>
      <c r="G87" s="360"/>
      <c r="I87" s="360"/>
      <c r="K87" s="360"/>
      <c r="L87" s="360"/>
      <c r="M87" s="360"/>
      <c r="P87" s="447"/>
      <c r="S87" s="360"/>
    </row>
    <row r="88" spans="3:19" s="135" customFormat="1" ht="16.5" customHeight="1">
      <c r="C88" s="360"/>
      <c r="E88" s="360"/>
      <c r="F88" s="360"/>
      <c r="G88" s="360"/>
      <c r="I88" s="360"/>
      <c r="K88" s="360"/>
      <c r="L88" s="360"/>
      <c r="M88" s="360"/>
      <c r="P88" s="447"/>
      <c r="S88" s="360"/>
    </row>
    <row r="89" spans="3:19" s="135" customFormat="1" ht="16.5" customHeight="1">
      <c r="C89" s="360"/>
      <c r="E89" s="360"/>
      <c r="F89" s="360"/>
      <c r="G89" s="360"/>
      <c r="I89" s="360"/>
      <c r="K89" s="360"/>
      <c r="L89" s="360"/>
      <c r="M89" s="360"/>
      <c r="P89" s="447"/>
      <c r="S89" s="360"/>
    </row>
    <row r="90" spans="3:19" s="135" customFormat="1" ht="16.5" customHeight="1">
      <c r="C90" s="360"/>
      <c r="E90" s="360"/>
      <c r="F90" s="360"/>
      <c r="G90" s="360"/>
      <c r="I90" s="360"/>
      <c r="K90" s="360"/>
      <c r="L90" s="360"/>
      <c r="M90" s="360"/>
      <c r="P90" s="447"/>
      <c r="S90" s="360"/>
    </row>
    <row r="91" spans="3:19" s="135" customFormat="1" ht="16.5" customHeight="1">
      <c r="C91" s="360"/>
      <c r="E91" s="360"/>
      <c r="F91" s="360"/>
      <c r="G91" s="360"/>
      <c r="I91" s="360"/>
      <c r="K91" s="360"/>
      <c r="L91" s="360"/>
      <c r="M91" s="360"/>
      <c r="P91" s="447"/>
      <c r="S91" s="360"/>
    </row>
    <row r="92" spans="3:19" s="135" customFormat="1" ht="18" customHeight="1">
      <c r="C92" s="360"/>
      <c r="E92" s="360"/>
      <c r="F92" s="360"/>
      <c r="G92" s="360"/>
      <c r="I92" s="360"/>
      <c r="K92" s="360"/>
      <c r="L92" s="360"/>
      <c r="M92" s="360"/>
      <c r="P92" s="447"/>
      <c r="S92" s="360"/>
    </row>
    <row r="93" spans="3:19" s="135" customFormat="1" ht="18" customHeight="1">
      <c r="C93" s="360"/>
      <c r="E93" s="360"/>
      <c r="F93" s="360"/>
      <c r="G93" s="360"/>
      <c r="I93" s="360"/>
      <c r="K93" s="360"/>
      <c r="L93" s="360"/>
      <c r="M93" s="360"/>
      <c r="P93" s="447"/>
      <c r="S93" s="360"/>
    </row>
    <row r="94" spans="3:19" s="135" customFormat="1" ht="18" customHeight="1">
      <c r="C94" s="360"/>
      <c r="E94" s="360"/>
      <c r="F94" s="360"/>
      <c r="G94" s="360"/>
      <c r="I94" s="360"/>
      <c r="K94" s="360"/>
      <c r="L94" s="360"/>
      <c r="M94" s="360"/>
      <c r="P94" s="447"/>
      <c r="S94" s="360"/>
    </row>
    <row r="95" spans="3:19" s="135" customFormat="1" ht="18" customHeight="1">
      <c r="C95" s="360"/>
      <c r="E95" s="360"/>
      <c r="F95" s="360"/>
      <c r="G95" s="360"/>
      <c r="I95" s="360"/>
      <c r="K95" s="360"/>
      <c r="L95" s="360"/>
      <c r="M95" s="360"/>
      <c r="P95" s="447"/>
      <c r="S95" s="360"/>
    </row>
    <row r="96" spans="3:19" s="135" customFormat="1" ht="18" customHeight="1">
      <c r="C96" s="360"/>
      <c r="E96" s="360"/>
      <c r="F96" s="360"/>
      <c r="G96" s="360"/>
      <c r="I96" s="360"/>
      <c r="K96" s="360"/>
      <c r="L96" s="360"/>
      <c r="M96" s="360"/>
      <c r="P96" s="447"/>
      <c r="S96" s="360"/>
    </row>
    <row r="97" spans="3:19" s="135" customFormat="1" ht="18" customHeight="1">
      <c r="C97" s="360"/>
      <c r="E97" s="360"/>
      <c r="F97" s="360"/>
      <c r="G97" s="360"/>
      <c r="I97" s="360"/>
      <c r="K97" s="360"/>
      <c r="L97" s="360"/>
      <c r="M97" s="360"/>
      <c r="P97" s="447"/>
      <c r="S97" s="360"/>
    </row>
    <row r="98" spans="3:19" s="135" customFormat="1" ht="18.75" customHeight="1">
      <c r="C98" s="360"/>
      <c r="E98" s="360"/>
      <c r="F98" s="360"/>
      <c r="G98" s="360"/>
      <c r="I98" s="360"/>
      <c r="K98" s="360"/>
      <c r="L98" s="360"/>
      <c r="M98" s="360"/>
      <c r="P98" s="447"/>
      <c r="S98" s="360"/>
    </row>
    <row r="99" spans="3:19" s="135" customFormat="1" ht="12.75">
      <c r="C99" s="360"/>
      <c r="E99" s="360"/>
      <c r="F99" s="360"/>
      <c r="G99" s="360"/>
      <c r="I99" s="360"/>
      <c r="K99" s="360"/>
      <c r="L99" s="360"/>
      <c r="M99" s="360"/>
      <c r="P99" s="447"/>
      <c r="S99" s="360"/>
    </row>
    <row r="100" spans="3:19" s="135" customFormat="1" ht="12.75">
      <c r="C100" s="360"/>
      <c r="E100" s="360"/>
      <c r="F100" s="360"/>
      <c r="G100" s="360"/>
      <c r="I100" s="360"/>
      <c r="K100" s="360"/>
      <c r="L100" s="360"/>
      <c r="M100" s="360"/>
      <c r="P100" s="447"/>
      <c r="S100" s="360"/>
    </row>
    <row r="101" spans="3:19" s="135" customFormat="1" ht="12.75">
      <c r="C101" s="360"/>
      <c r="E101" s="360"/>
      <c r="F101" s="360"/>
      <c r="G101" s="360"/>
      <c r="I101" s="360"/>
      <c r="K101" s="360"/>
      <c r="L101" s="360"/>
      <c r="M101" s="360"/>
      <c r="P101" s="447"/>
      <c r="S101" s="360"/>
    </row>
  </sheetData>
  <sheetProtection/>
  <mergeCells count="12">
    <mergeCell ref="R2:S3"/>
    <mergeCell ref="D3:E3"/>
    <mergeCell ref="N2:O3"/>
    <mergeCell ref="F3:G3"/>
    <mergeCell ref="F2:M2"/>
    <mergeCell ref="J3:K3"/>
    <mergeCell ref="A2:A4"/>
    <mergeCell ref="B3:C3"/>
    <mergeCell ref="B2:E2"/>
    <mergeCell ref="H3:I3"/>
    <mergeCell ref="P2:P3"/>
    <mergeCell ref="Q2:Q3"/>
  </mergeCells>
  <printOptions horizontalCentered="1"/>
  <pageMargins left="0.15748031496063" right="0.21" top="0.29" bottom="0.051574803" header="0.35" footer="0.2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99CC"/>
  </sheetPr>
  <dimension ref="A1:AT127"/>
  <sheetViews>
    <sheetView zoomScalePageLayoutView="0" workbookViewId="0" topLeftCell="A1">
      <pane xSplit="1" ySplit="3" topLeftCell="B46" activePane="bottomRight" state="frozen"/>
      <selection pane="topLeft" activeCell="A1" sqref="A1"/>
      <selection pane="topRight" activeCell="B1" sqref="B1"/>
      <selection pane="bottomLeft" activeCell="A4" sqref="A4"/>
      <selection pane="bottomRight" activeCell="A52" sqref="A52"/>
    </sheetView>
  </sheetViews>
  <sheetFormatPr defaultColWidth="9.140625" defaultRowHeight="12.75"/>
  <cols>
    <col min="1" max="1" width="29.28125" style="114" customWidth="1"/>
    <col min="2" max="2" width="5.140625" style="139" customWidth="1"/>
    <col min="3" max="3" width="9.28125" style="353" bestFit="1" customWidth="1"/>
    <col min="4" max="4" width="3.8515625" style="140" customWidth="1"/>
    <col min="5" max="5" width="8.140625" style="353" customWidth="1"/>
    <col min="6" max="6" width="3.8515625" style="139" customWidth="1"/>
    <col min="7" max="7" width="8.00390625" style="353" customWidth="1"/>
    <col min="8" max="8" width="5.140625" style="140" customWidth="1"/>
    <col min="9" max="9" width="9.421875" style="353" customWidth="1"/>
    <col min="10" max="10" width="3.7109375" style="141" hidden="1" customWidth="1"/>
    <col min="11" max="11" width="6.140625" style="114" hidden="1" customWidth="1"/>
    <col min="12" max="12" width="4.140625" style="114" customWidth="1"/>
    <col min="13" max="13" width="8.00390625" style="350" customWidth="1"/>
    <col min="14" max="14" width="3.28125" style="114" customWidth="1"/>
    <col min="15" max="15" width="6.8515625" style="350" customWidth="1"/>
    <col min="16" max="16" width="3.8515625" style="114" customWidth="1"/>
    <col min="17" max="17" width="8.00390625" style="350" customWidth="1"/>
    <col min="18" max="18" width="3.00390625" style="140" customWidth="1"/>
    <col min="19" max="19" width="8.140625" style="350" customWidth="1"/>
    <col min="20" max="20" width="4.00390625" style="114" customWidth="1"/>
    <col min="21" max="21" width="8.140625" style="350" customWidth="1"/>
    <col min="22" max="22" width="3.8515625" style="114" customWidth="1"/>
    <col min="23" max="23" width="8.140625" style="350" customWidth="1"/>
    <col min="24" max="24" width="4.140625" style="141" customWidth="1"/>
    <col min="25" max="25" width="8.57421875" style="350" customWidth="1"/>
    <col min="26" max="26" width="5.00390625" style="114" customWidth="1"/>
    <col min="27" max="27" width="9.00390625" style="350" customWidth="1"/>
    <col min="28" max="28" width="4.28125" style="141" customWidth="1"/>
    <col min="29" max="29" width="9.421875" style="353" customWidth="1"/>
    <col min="30" max="30" width="3.8515625" style="140" customWidth="1"/>
    <col min="31" max="31" width="8.00390625" style="353" customWidth="1"/>
    <col min="32" max="32" width="5.00390625" style="141" customWidth="1"/>
    <col min="33" max="33" width="9.7109375" style="350" customWidth="1"/>
    <col min="34" max="34" width="4.00390625" style="114" customWidth="1"/>
    <col min="35" max="35" width="8.140625" style="350" customWidth="1"/>
    <col min="36" max="36" width="4.00390625" style="141" customWidth="1"/>
    <col min="37" max="37" width="9.00390625" style="350" customWidth="1"/>
    <col min="38" max="38" width="3.421875" style="141" customWidth="1"/>
    <col min="39" max="39" width="6.7109375" style="350" customWidth="1"/>
    <col min="40" max="40" width="6.7109375" style="141" customWidth="1"/>
    <col min="41" max="41" width="10.421875" style="492" customWidth="1"/>
    <col min="42" max="42" width="5.28125" style="114" customWidth="1"/>
    <col min="43" max="43" width="9.7109375" style="91" customWidth="1"/>
    <col min="44" max="44" width="11.00390625" style="135" customWidth="1"/>
    <col min="45" max="45" width="10.8515625" style="141" customWidth="1"/>
    <col min="46" max="46" width="10.28125" style="114" customWidth="1"/>
    <col min="47" max="16384" width="9.140625" style="114" customWidth="1"/>
  </cols>
  <sheetData>
    <row r="1" spans="2:46" s="59" customFormat="1" ht="18.75" customHeight="1" thickBot="1">
      <c r="B1" s="139"/>
      <c r="C1" s="430"/>
      <c r="D1" s="140"/>
      <c r="E1" s="353"/>
      <c r="F1" s="139"/>
      <c r="G1" s="353"/>
      <c r="H1" s="140"/>
      <c r="I1" s="353"/>
      <c r="J1" s="141"/>
      <c r="K1" s="140"/>
      <c r="L1" s="140"/>
      <c r="M1" s="353"/>
      <c r="N1" s="140"/>
      <c r="O1" s="353"/>
      <c r="P1" s="140"/>
      <c r="Q1" s="353"/>
      <c r="R1" s="140"/>
      <c r="S1" s="353"/>
      <c r="T1" s="140"/>
      <c r="U1" s="353"/>
      <c r="V1" s="140"/>
      <c r="W1" s="353"/>
      <c r="X1" s="141"/>
      <c r="Y1" s="353"/>
      <c r="Z1" s="140"/>
      <c r="AA1" s="353"/>
      <c r="AC1" s="349"/>
      <c r="AE1" s="349"/>
      <c r="AF1" s="141"/>
      <c r="AG1" s="349"/>
      <c r="AH1" s="74"/>
      <c r="AI1" s="434"/>
      <c r="AJ1" s="74"/>
      <c r="AK1" s="1051" t="s">
        <v>0</v>
      </c>
      <c r="AL1" s="74"/>
      <c r="AM1" s="434"/>
      <c r="AN1" s="74"/>
      <c r="AP1" s="114"/>
      <c r="AQ1" s="72"/>
      <c r="AS1" s="141"/>
      <c r="AT1" s="114"/>
    </row>
    <row r="2" spans="1:41" s="59" customFormat="1" ht="73.5" customHeight="1" thickBot="1">
      <c r="A2" s="1163" t="s">
        <v>473</v>
      </c>
      <c r="B2" s="1165" t="s">
        <v>50</v>
      </c>
      <c r="C2" s="1165"/>
      <c r="D2" s="1165" t="s">
        <v>51</v>
      </c>
      <c r="E2" s="1165"/>
      <c r="F2" s="1168" t="s">
        <v>63</v>
      </c>
      <c r="G2" s="1168"/>
      <c r="H2" s="1167" t="s">
        <v>52</v>
      </c>
      <c r="I2" s="1167"/>
      <c r="J2" s="1167" t="s">
        <v>52</v>
      </c>
      <c r="K2" s="1167"/>
      <c r="L2" s="1167" t="s">
        <v>64</v>
      </c>
      <c r="M2" s="1167"/>
      <c r="N2" s="1166" t="s">
        <v>111</v>
      </c>
      <c r="O2" s="1166"/>
      <c r="P2" s="1166" t="s">
        <v>53</v>
      </c>
      <c r="Q2" s="1166"/>
      <c r="R2" s="1166" t="s">
        <v>54</v>
      </c>
      <c r="S2" s="1166"/>
      <c r="T2" s="1166" t="s">
        <v>115</v>
      </c>
      <c r="U2" s="1166"/>
      <c r="V2" s="1166" t="s">
        <v>55</v>
      </c>
      <c r="W2" s="1166"/>
      <c r="X2" s="1165" t="s">
        <v>56</v>
      </c>
      <c r="Y2" s="1165"/>
      <c r="Z2" s="1166" t="s">
        <v>57</v>
      </c>
      <c r="AA2" s="1166"/>
      <c r="AB2" s="1166" t="s">
        <v>58</v>
      </c>
      <c r="AC2" s="1166"/>
      <c r="AD2" s="1166" t="s">
        <v>59</v>
      </c>
      <c r="AE2" s="1166"/>
      <c r="AF2" s="1166" t="s">
        <v>60</v>
      </c>
      <c r="AG2" s="1166"/>
      <c r="AH2" s="1166" t="s">
        <v>61</v>
      </c>
      <c r="AI2" s="1166"/>
      <c r="AJ2" s="1166" t="s">
        <v>71</v>
      </c>
      <c r="AK2" s="1166"/>
      <c r="AL2" s="1166" t="s">
        <v>62</v>
      </c>
      <c r="AM2" s="1166"/>
      <c r="AN2" s="1169" t="s">
        <v>481</v>
      </c>
      <c r="AO2" s="1169"/>
    </row>
    <row r="3" spans="1:41" s="70" customFormat="1" ht="21.75" customHeight="1" thickBot="1">
      <c r="A3" s="1164"/>
      <c r="B3" s="1086" t="s">
        <v>474</v>
      </c>
      <c r="C3" s="1087" t="s">
        <v>475</v>
      </c>
      <c r="D3" s="1086" t="s">
        <v>474</v>
      </c>
      <c r="E3" s="1087" t="s">
        <v>475</v>
      </c>
      <c r="F3" s="1086" t="s">
        <v>474</v>
      </c>
      <c r="G3" s="1087" t="s">
        <v>475</v>
      </c>
      <c r="H3" s="1086" t="s">
        <v>474</v>
      </c>
      <c r="I3" s="1087" t="s">
        <v>475</v>
      </c>
      <c r="J3" s="1086" t="s">
        <v>474</v>
      </c>
      <c r="K3" s="1087" t="s">
        <v>475</v>
      </c>
      <c r="L3" s="1086" t="s">
        <v>474</v>
      </c>
      <c r="M3" s="1087" t="s">
        <v>475</v>
      </c>
      <c r="N3" s="1086" t="s">
        <v>474</v>
      </c>
      <c r="O3" s="1087" t="s">
        <v>475</v>
      </c>
      <c r="P3" s="1086" t="s">
        <v>474</v>
      </c>
      <c r="Q3" s="1087" t="s">
        <v>475</v>
      </c>
      <c r="R3" s="1086" t="s">
        <v>474</v>
      </c>
      <c r="S3" s="1087" t="s">
        <v>475</v>
      </c>
      <c r="T3" s="1086" t="s">
        <v>474</v>
      </c>
      <c r="U3" s="1087" t="s">
        <v>475</v>
      </c>
      <c r="V3" s="1086" t="s">
        <v>474</v>
      </c>
      <c r="W3" s="1087" t="s">
        <v>475</v>
      </c>
      <c r="X3" s="1086" t="s">
        <v>474</v>
      </c>
      <c r="Y3" s="1087" t="s">
        <v>475</v>
      </c>
      <c r="Z3" s="1086" t="s">
        <v>474</v>
      </c>
      <c r="AA3" s="1087" t="s">
        <v>475</v>
      </c>
      <c r="AB3" s="1086" t="s">
        <v>474</v>
      </c>
      <c r="AC3" s="1087" t="s">
        <v>475</v>
      </c>
      <c r="AD3" s="1086" t="s">
        <v>474</v>
      </c>
      <c r="AE3" s="1087" t="s">
        <v>475</v>
      </c>
      <c r="AF3" s="1086" t="s">
        <v>474</v>
      </c>
      <c r="AG3" s="1087" t="s">
        <v>475</v>
      </c>
      <c r="AH3" s="1086" t="s">
        <v>474</v>
      </c>
      <c r="AI3" s="1087" t="s">
        <v>475</v>
      </c>
      <c r="AJ3" s="1086" t="s">
        <v>474</v>
      </c>
      <c r="AK3" s="1087" t="s">
        <v>475</v>
      </c>
      <c r="AL3" s="1086" t="s">
        <v>474</v>
      </c>
      <c r="AM3" s="1087" t="s">
        <v>475</v>
      </c>
      <c r="AN3" s="1086" t="s">
        <v>474</v>
      </c>
      <c r="AO3" s="1087" t="s">
        <v>475</v>
      </c>
    </row>
    <row r="4" spans="1:41" s="59" customFormat="1" ht="26.25" customHeight="1">
      <c r="A4" s="1094" t="s">
        <v>480</v>
      </c>
      <c r="B4" s="1095"/>
      <c r="C4" s="345"/>
      <c r="D4" s="62"/>
      <c r="E4" s="345"/>
      <c r="F4" s="61"/>
      <c r="G4" s="345"/>
      <c r="H4" s="62"/>
      <c r="I4" s="345"/>
      <c r="J4" s="63"/>
      <c r="K4" s="62"/>
      <c r="L4" s="62"/>
      <c r="M4" s="345"/>
      <c r="N4" s="62"/>
      <c r="O4" s="345"/>
      <c r="P4" s="62"/>
      <c r="Q4" s="345"/>
      <c r="R4" s="62"/>
      <c r="S4" s="345"/>
      <c r="T4" s="62"/>
      <c r="U4" s="345"/>
      <c r="V4" s="62"/>
      <c r="W4" s="345"/>
      <c r="X4" s="63"/>
      <c r="Y4" s="345"/>
      <c r="Z4" s="62"/>
      <c r="AA4" s="345"/>
      <c r="AB4" s="63"/>
      <c r="AC4" s="345"/>
      <c r="AD4" s="62"/>
      <c r="AE4" s="345"/>
      <c r="AF4" s="63"/>
      <c r="AG4" s="345"/>
      <c r="AH4" s="62"/>
      <c r="AI4" s="345"/>
      <c r="AJ4" s="63"/>
      <c r="AK4" s="345"/>
      <c r="AL4" s="63"/>
      <c r="AM4" s="345"/>
      <c r="AN4" s="63"/>
      <c r="AO4" s="1052"/>
    </row>
    <row r="5" spans="1:41" s="80" customFormat="1" ht="23.25" customHeight="1">
      <c r="A5" s="1096" t="s">
        <v>65</v>
      </c>
      <c r="B5" s="1097">
        <v>1</v>
      </c>
      <c r="C5" s="414">
        <v>337</v>
      </c>
      <c r="D5" s="12"/>
      <c r="E5" s="414"/>
      <c r="F5" s="158">
        <v>3</v>
      </c>
      <c r="G5" s="414">
        <v>499.3</v>
      </c>
      <c r="H5" s="15">
        <f>2+2</f>
        <v>4</v>
      </c>
      <c r="I5" s="433">
        <f>452+314.9+172.7+278.8</f>
        <v>1218.3999999999999</v>
      </c>
      <c r="J5" s="15"/>
      <c r="K5" s="12"/>
      <c r="L5" s="12">
        <v>9</v>
      </c>
      <c r="M5" s="414">
        <v>318.7</v>
      </c>
      <c r="N5" s="12"/>
      <c r="O5" s="414"/>
      <c r="P5" s="12"/>
      <c r="Q5" s="414"/>
      <c r="R5" s="12"/>
      <c r="S5" s="414">
        <v>97.9</v>
      </c>
      <c r="T5" s="12"/>
      <c r="U5" s="414"/>
      <c r="V5" s="12">
        <v>30</v>
      </c>
      <c r="W5" s="414">
        <f>3759.4+98.2+1241.4</f>
        <v>5099</v>
      </c>
      <c r="X5" s="11"/>
      <c r="Y5" s="364"/>
      <c r="Z5" s="11">
        <v>29</v>
      </c>
      <c r="AA5" s="364">
        <f>2057.2+882.5</f>
        <v>2939.7</v>
      </c>
      <c r="AB5" s="11"/>
      <c r="AC5" s="364">
        <f>50.1+25000+386.4</f>
        <v>25436.5</v>
      </c>
      <c r="AD5" s="11"/>
      <c r="AE5" s="364"/>
      <c r="AF5" s="11">
        <f>2+9</f>
        <v>11</v>
      </c>
      <c r="AG5" s="364">
        <f>177.2+310.2+176.2</f>
        <v>663.5999999999999</v>
      </c>
      <c r="AH5" s="11">
        <v>2</v>
      </c>
      <c r="AI5" s="364">
        <v>319.8</v>
      </c>
      <c r="AJ5" s="11">
        <v>20</v>
      </c>
      <c r="AK5" s="364">
        <v>1129</v>
      </c>
      <c r="AL5" s="11"/>
      <c r="AM5" s="364"/>
      <c r="AN5" s="94">
        <f aca="true" t="shared" si="0" ref="AN5:AO8">SUM(B5,D5,F5,H5,J5,L5,N5,P5,R5,T5,V5,X5,Z5,AB5,AD5,AF5,AH5,AJ5,AL5)</f>
        <v>109</v>
      </c>
      <c r="AO5" s="1053">
        <f t="shared" si="0"/>
        <v>38058.9</v>
      </c>
    </row>
    <row r="6" spans="1:46" s="80" customFormat="1" ht="23.25" customHeight="1">
      <c r="A6" s="1096" t="s">
        <v>66</v>
      </c>
      <c r="B6" s="1097">
        <f>5+3+10+12+8+4+1+6</f>
        <v>49</v>
      </c>
      <c r="C6" s="414">
        <f>1886+175.8+1228.9+131.9+10095+198.7+299.8+544.3+38.5+487.2+1552.1+138.5+1265.3+229.4+710.4+925.9+73.9</f>
        <v>19981.600000000006</v>
      </c>
      <c r="D6" s="12">
        <v>11</v>
      </c>
      <c r="E6" s="414">
        <v>2361.3</v>
      </c>
      <c r="F6" s="158">
        <v>3</v>
      </c>
      <c r="G6" s="414">
        <v>776.6</v>
      </c>
      <c r="H6" s="15">
        <f>13+45+6+30+32+8+2+4+5+4+2+77+5+22</f>
        <v>255</v>
      </c>
      <c r="I6" s="433">
        <f>1845+737+904+1510.3+6347.9+952.6+132.8+1584.1+1253.9+627.6+381.5+273.4+84.6+27.8+119.6+206.4+1337.7+1337.7+1543.2+339.6+274.7+82.9+113.1+101.8+1149.7+896</f>
        <v>24164.9</v>
      </c>
      <c r="J6" s="15"/>
      <c r="K6" s="12"/>
      <c r="L6" s="12">
        <v>7</v>
      </c>
      <c r="M6" s="414">
        <v>1198.3</v>
      </c>
      <c r="N6" s="12">
        <v>1</v>
      </c>
      <c r="O6" s="414">
        <v>419</v>
      </c>
      <c r="P6" s="12">
        <v>8</v>
      </c>
      <c r="Q6" s="414">
        <v>1261.5</v>
      </c>
      <c r="R6" s="12"/>
      <c r="S6" s="414">
        <v>288</v>
      </c>
      <c r="T6" s="12">
        <v>31</v>
      </c>
      <c r="U6" s="414">
        <v>3183.1</v>
      </c>
      <c r="V6" s="12">
        <v>1</v>
      </c>
      <c r="W6" s="414">
        <v>79.3</v>
      </c>
      <c r="X6" s="11">
        <f>7+9</f>
        <v>16</v>
      </c>
      <c r="Y6" s="364">
        <f>1062+1049+752.5+1771.3</f>
        <v>4634.8</v>
      </c>
      <c r="Z6" s="11">
        <f>42+14</f>
        <v>56</v>
      </c>
      <c r="AA6" s="364">
        <f>6874.2+504.7+84.1+74.2</f>
        <v>7537.2</v>
      </c>
      <c r="AB6" s="11">
        <f>66+1</f>
        <v>67</v>
      </c>
      <c r="AC6" s="364">
        <f>1858.7+3772.8+195+26.4+31.8+602.5</f>
        <v>6487.2</v>
      </c>
      <c r="AD6" s="11">
        <v>2</v>
      </c>
      <c r="AE6" s="364">
        <v>815.7</v>
      </c>
      <c r="AF6" s="11">
        <v>18</v>
      </c>
      <c r="AG6" s="364">
        <f>3904.1+28.9</f>
        <v>3933</v>
      </c>
      <c r="AH6" s="11">
        <v>17</v>
      </c>
      <c r="AI6" s="364">
        <v>1670.3</v>
      </c>
      <c r="AJ6" s="11">
        <v>31</v>
      </c>
      <c r="AK6" s="364">
        <v>3774.2</v>
      </c>
      <c r="AL6" s="11"/>
      <c r="AM6" s="364"/>
      <c r="AN6" s="94">
        <f t="shared" si="0"/>
        <v>573</v>
      </c>
      <c r="AO6" s="1053">
        <f t="shared" si="0"/>
        <v>82566.00000000001</v>
      </c>
      <c r="AP6"/>
      <c r="AQ6"/>
      <c r="AS6" s="78"/>
      <c r="AT6" s="77"/>
    </row>
    <row r="7" spans="1:46" s="80" customFormat="1" ht="23.25" customHeight="1">
      <c r="A7" s="1096" t="s">
        <v>67</v>
      </c>
      <c r="B7" s="1097">
        <f>5</f>
        <v>5</v>
      </c>
      <c r="C7" s="414">
        <f>354.4+194+288.6+601.9</f>
        <v>1438.9</v>
      </c>
      <c r="D7" s="12"/>
      <c r="E7" s="414"/>
      <c r="F7" s="158"/>
      <c r="G7" s="414"/>
      <c r="H7" s="15">
        <f>6+5+2</f>
        <v>13</v>
      </c>
      <c r="I7" s="433">
        <f>731.1+229.9+445.4+343.2+250+101.4+284.9+30.7+40.3</f>
        <v>2456.9</v>
      </c>
      <c r="J7" s="15"/>
      <c r="K7" s="12"/>
      <c r="L7" s="12"/>
      <c r="M7" s="414"/>
      <c r="N7" s="12"/>
      <c r="O7" s="414"/>
      <c r="P7" s="12"/>
      <c r="Q7" s="414">
        <v>641</v>
      </c>
      <c r="R7" s="12"/>
      <c r="S7" s="414"/>
      <c r="T7" s="12"/>
      <c r="U7" s="414"/>
      <c r="V7" s="12"/>
      <c r="W7" s="414"/>
      <c r="X7" s="11"/>
      <c r="Y7" s="364">
        <f>121.5</f>
        <v>121.5</v>
      </c>
      <c r="Z7" s="11">
        <f>1</f>
        <v>1</v>
      </c>
      <c r="AA7" s="364">
        <f>526.2</f>
        <v>526.2</v>
      </c>
      <c r="AB7" s="11"/>
      <c r="AC7" s="364"/>
      <c r="AD7" s="11">
        <v>3</v>
      </c>
      <c r="AE7" s="364">
        <v>421.2</v>
      </c>
      <c r="AF7" s="11">
        <v>20</v>
      </c>
      <c r="AG7" s="364">
        <f>1487.4+159.6+1848.3+11724</f>
        <v>15219.3</v>
      </c>
      <c r="AH7" s="11"/>
      <c r="AI7" s="364"/>
      <c r="AJ7" s="11">
        <v>3</v>
      </c>
      <c r="AK7" s="364">
        <v>765.2</v>
      </c>
      <c r="AL7" s="11"/>
      <c r="AM7" s="364"/>
      <c r="AN7" s="94">
        <f t="shared" si="0"/>
        <v>45</v>
      </c>
      <c r="AO7" s="1053">
        <f t="shared" si="0"/>
        <v>21590.2</v>
      </c>
      <c r="AP7"/>
      <c r="AQ7"/>
      <c r="AS7" s="78"/>
      <c r="AT7" s="77"/>
    </row>
    <row r="8" spans="1:46" s="438" customFormat="1" ht="22.5" customHeight="1">
      <c r="A8" s="1098" t="s">
        <v>68</v>
      </c>
      <c r="B8" s="1099"/>
      <c r="C8" s="811">
        <f>118.5+31.8</f>
        <v>150.3</v>
      </c>
      <c r="D8" s="797"/>
      <c r="E8" s="811"/>
      <c r="F8" s="241"/>
      <c r="G8" s="811"/>
      <c r="H8" s="18">
        <f>48+2+1</f>
        <v>51</v>
      </c>
      <c r="I8" s="812">
        <f>4834.1+1434.2+236.3+110</f>
        <v>6614.6</v>
      </c>
      <c r="J8" s="18"/>
      <c r="K8" s="797"/>
      <c r="L8" s="797"/>
      <c r="M8" s="811"/>
      <c r="N8" s="797"/>
      <c r="O8" s="811"/>
      <c r="P8" s="797"/>
      <c r="Q8" s="811"/>
      <c r="R8" s="797"/>
      <c r="S8" s="811"/>
      <c r="T8" s="797"/>
      <c r="U8" s="811"/>
      <c r="V8" s="797"/>
      <c r="W8" s="811"/>
      <c r="X8" s="17"/>
      <c r="Y8" s="413"/>
      <c r="Z8" s="17"/>
      <c r="AA8" s="413"/>
      <c r="AB8" s="17"/>
      <c r="AC8" s="413"/>
      <c r="AD8" s="17"/>
      <c r="AE8" s="413"/>
      <c r="AF8" s="17"/>
      <c r="AG8" s="413"/>
      <c r="AH8" s="17"/>
      <c r="AI8" s="413"/>
      <c r="AJ8" s="17"/>
      <c r="AK8" s="413"/>
      <c r="AL8" s="17"/>
      <c r="AM8" s="413"/>
      <c r="AN8" s="165">
        <f t="shared" si="0"/>
        <v>51</v>
      </c>
      <c r="AO8" s="1054">
        <f t="shared" si="0"/>
        <v>6764.900000000001</v>
      </c>
      <c r="AP8" s="256"/>
      <c r="AQ8" s="256"/>
      <c r="AS8" s="439"/>
      <c r="AT8" s="81"/>
    </row>
    <row r="9" spans="1:46" s="79" customFormat="1" ht="22.5" customHeight="1">
      <c r="A9" s="1100" t="s">
        <v>492</v>
      </c>
      <c r="B9" s="1097"/>
      <c r="C9" s="364"/>
      <c r="D9" s="11"/>
      <c r="E9" s="364"/>
      <c r="F9" s="11"/>
      <c r="G9" s="364"/>
      <c r="H9" s="11"/>
      <c r="I9" s="364"/>
      <c r="J9" s="11"/>
      <c r="K9" s="11"/>
      <c r="L9" s="11"/>
      <c r="M9" s="364"/>
      <c r="N9" s="11"/>
      <c r="O9" s="364"/>
      <c r="P9" s="11"/>
      <c r="Q9" s="364"/>
      <c r="R9" s="11"/>
      <c r="S9" s="364"/>
      <c r="T9" s="11"/>
      <c r="U9" s="364"/>
      <c r="V9" s="11"/>
      <c r="W9" s="364"/>
      <c r="X9" s="11"/>
      <c r="Y9" s="364"/>
      <c r="Z9" s="11"/>
      <c r="AA9" s="364"/>
      <c r="AB9" s="11"/>
      <c r="AC9" s="364"/>
      <c r="AD9" s="11"/>
      <c r="AE9" s="364"/>
      <c r="AF9" s="11"/>
      <c r="AG9" s="364"/>
      <c r="AH9" s="11"/>
      <c r="AI9" s="364"/>
      <c r="AJ9" s="11"/>
      <c r="AK9" s="364"/>
      <c r="AL9" s="11"/>
      <c r="AM9" s="364"/>
      <c r="AN9" s="94"/>
      <c r="AO9" s="1053"/>
      <c r="AP9" s="184"/>
      <c r="AQ9" s="184"/>
      <c r="AS9" s="78"/>
      <c r="AT9" s="754"/>
    </row>
    <row r="10" spans="1:46" s="59" customFormat="1" ht="24.75" customHeight="1">
      <c r="A10" s="1101" t="s">
        <v>74</v>
      </c>
      <c r="B10" s="1097"/>
      <c r="C10" s="414"/>
      <c r="D10" s="12"/>
      <c r="E10" s="414"/>
      <c r="F10" s="158"/>
      <c r="G10" s="414"/>
      <c r="H10" s="15"/>
      <c r="I10" s="433"/>
      <c r="J10" s="15"/>
      <c r="K10" s="12"/>
      <c r="L10" s="12"/>
      <c r="M10" s="414"/>
      <c r="N10" s="12"/>
      <c r="O10" s="414"/>
      <c r="P10" s="12"/>
      <c r="Q10" s="414"/>
      <c r="R10" s="12"/>
      <c r="S10" s="414"/>
      <c r="T10" s="12"/>
      <c r="U10" s="414"/>
      <c r="V10" s="12"/>
      <c r="W10" s="414"/>
      <c r="X10" s="11"/>
      <c r="Y10" s="364"/>
      <c r="Z10" s="11"/>
      <c r="AA10" s="364"/>
      <c r="AB10" s="11"/>
      <c r="AC10" s="364"/>
      <c r="AD10" s="11"/>
      <c r="AE10" s="364"/>
      <c r="AF10" s="11">
        <v>19</v>
      </c>
      <c r="AG10" s="364">
        <v>674.6</v>
      </c>
      <c r="AH10" s="11"/>
      <c r="AI10" s="364"/>
      <c r="AJ10" s="11"/>
      <c r="AK10" s="364"/>
      <c r="AL10" s="11"/>
      <c r="AM10" s="364"/>
      <c r="AN10" s="94">
        <f>SUM(B10,D10,F10,H10,J10,L10,N10,P10,R10,T10,V10,X10,Z10,AB10,AD10,AF10,AH10,AJ10,AL10)</f>
        <v>19</v>
      </c>
      <c r="AO10" s="1053">
        <f>SUM(C10,E10,G10,I10,K10,M10,O10,Q10,S10,U10,W10,Y10,AA10,AC10,AE10,AG10,AI10,AK10,AM10)</f>
        <v>674.6</v>
      </c>
      <c r="AP10"/>
      <c r="AQ10"/>
      <c r="AR10" s="7"/>
      <c r="AS10" s="85"/>
      <c r="AT10" s="135"/>
    </row>
    <row r="11" spans="1:46" s="438" customFormat="1" ht="22.5" customHeight="1">
      <c r="A11" s="1102" t="s">
        <v>70</v>
      </c>
      <c r="B11" s="1099">
        <f>5+8+10</f>
        <v>23</v>
      </c>
      <c r="C11" s="811">
        <f>757.1+1006.5+860.3+543.7</f>
        <v>3167.5999999999995</v>
      </c>
      <c r="D11" s="797"/>
      <c r="E11" s="811"/>
      <c r="F11" s="241"/>
      <c r="G11" s="811"/>
      <c r="H11" s="18"/>
      <c r="I11" s="812"/>
      <c r="J11" s="18"/>
      <c r="K11" s="797"/>
      <c r="L11" s="797"/>
      <c r="M11" s="811"/>
      <c r="N11" s="797"/>
      <c r="O11" s="811"/>
      <c r="P11" s="797"/>
      <c r="Q11" s="811"/>
      <c r="R11" s="797"/>
      <c r="S11" s="811"/>
      <c r="T11" s="797"/>
      <c r="U11" s="811"/>
      <c r="V11" s="797"/>
      <c r="W11" s="811"/>
      <c r="X11" s="17"/>
      <c r="Y11" s="413"/>
      <c r="Z11" s="17">
        <v>2</v>
      </c>
      <c r="AA11" s="413">
        <v>246.5</v>
      </c>
      <c r="AB11" s="17">
        <f>5+5+5+5</f>
        <v>20</v>
      </c>
      <c r="AC11" s="413">
        <f>601.6+631.7+637.1+607.1</f>
        <v>2477.5</v>
      </c>
      <c r="AD11" s="17"/>
      <c r="AE11" s="413"/>
      <c r="AF11" s="17"/>
      <c r="AG11" s="413"/>
      <c r="AH11" s="17"/>
      <c r="AI11" s="413"/>
      <c r="AJ11" s="17"/>
      <c r="AK11" s="413"/>
      <c r="AL11" s="17"/>
      <c r="AM11" s="413"/>
      <c r="AN11" s="165">
        <f>SUM(B11,D11,F11,H11,J11,L11,N11,P11,R11,T11,V11,X11,Z11,AB11,AD11,AF11,AH11,AJ11,AL11)</f>
        <v>45</v>
      </c>
      <c r="AO11" s="1054">
        <f>SUM(C11,E11,G11,I11,K11,M11,O11,Q11,S11,U11,W11,Y11,AA11,AC11,AE11,AG11,AI11,AK11,AM11)</f>
        <v>5891.599999999999</v>
      </c>
      <c r="AP11" s="256"/>
      <c r="AQ11" s="256"/>
      <c r="AS11" s="439"/>
      <c r="AT11" s="81"/>
    </row>
    <row r="12" spans="1:46" s="79" customFormat="1" ht="22.5" customHeight="1">
      <c r="A12" s="1094" t="s">
        <v>493</v>
      </c>
      <c r="B12" s="1097"/>
      <c r="C12" s="364"/>
      <c r="D12" s="11"/>
      <c r="E12" s="364"/>
      <c r="F12" s="11"/>
      <c r="G12" s="364"/>
      <c r="H12" s="11"/>
      <c r="I12" s="364"/>
      <c r="J12" s="11"/>
      <c r="K12" s="11"/>
      <c r="L12" s="11"/>
      <c r="M12" s="364"/>
      <c r="N12" s="11"/>
      <c r="O12" s="364"/>
      <c r="P12" s="11"/>
      <c r="Q12" s="364"/>
      <c r="R12" s="11"/>
      <c r="S12" s="364"/>
      <c r="T12" s="11"/>
      <c r="U12" s="364"/>
      <c r="V12" s="11"/>
      <c r="W12" s="364"/>
      <c r="X12" s="11"/>
      <c r="Y12" s="364"/>
      <c r="Z12" s="11"/>
      <c r="AA12" s="364"/>
      <c r="AB12" s="11"/>
      <c r="AC12" s="364"/>
      <c r="AD12" s="11"/>
      <c r="AE12" s="364"/>
      <c r="AF12" s="11"/>
      <c r="AG12" s="364"/>
      <c r="AH12" s="11"/>
      <c r="AI12" s="364"/>
      <c r="AJ12" s="11"/>
      <c r="AK12" s="364"/>
      <c r="AL12" s="11"/>
      <c r="AM12" s="364"/>
      <c r="AN12" s="94"/>
      <c r="AO12" s="1053"/>
      <c r="AP12" s="184"/>
      <c r="AQ12" s="184"/>
      <c r="AS12" s="78"/>
      <c r="AT12" s="754"/>
    </row>
    <row r="13" spans="1:46" s="79" customFormat="1" ht="22.5" customHeight="1">
      <c r="A13" s="1101" t="s">
        <v>73</v>
      </c>
      <c r="B13" s="1097"/>
      <c r="C13" s="414"/>
      <c r="D13" s="12"/>
      <c r="E13" s="414"/>
      <c r="F13" s="158"/>
      <c r="G13" s="414"/>
      <c r="H13" s="15"/>
      <c r="I13" s="433"/>
      <c r="J13" s="15"/>
      <c r="K13" s="12"/>
      <c r="L13" s="12"/>
      <c r="M13" s="414"/>
      <c r="N13" s="12"/>
      <c r="O13" s="414"/>
      <c r="P13" s="12"/>
      <c r="Q13" s="414"/>
      <c r="R13" s="12"/>
      <c r="S13" s="414"/>
      <c r="T13" s="12"/>
      <c r="U13" s="414"/>
      <c r="V13" s="12"/>
      <c r="W13" s="414"/>
      <c r="X13" s="11"/>
      <c r="Y13" s="364"/>
      <c r="Z13" s="11">
        <v>1</v>
      </c>
      <c r="AA13" s="364">
        <v>105.7</v>
      </c>
      <c r="AB13" s="11"/>
      <c r="AC13" s="364"/>
      <c r="AD13" s="11"/>
      <c r="AE13" s="364"/>
      <c r="AF13" s="11"/>
      <c r="AG13" s="364"/>
      <c r="AH13" s="11"/>
      <c r="AI13" s="364"/>
      <c r="AJ13" s="11"/>
      <c r="AK13" s="364"/>
      <c r="AL13" s="11"/>
      <c r="AM13" s="364"/>
      <c r="AN13" s="94">
        <f aca="true" t="shared" si="1" ref="AN13:AO15">SUM(B13,D13,F13,H13,J13,L13,N13,P13,R13,T13,V13,X13,Z13,AB13,AD13,AF13,AH13,AJ13,AL13)</f>
        <v>1</v>
      </c>
      <c r="AO13" s="1053">
        <f t="shared" si="1"/>
        <v>105.7</v>
      </c>
      <c r="AP13" s="184"/>
      <c r="AQ13" s="184"/>
      <c r="AS13" s="78"/>
      <c r="AT13" s="754"/>
    </row>
    <row r="14" spans="1:46" s="79" customFormat="1" ht="22.5" customHeight="1">
      <c r="A14" s="1101" t="s">
        <v>438</v>
      </c>
      <c r="B14" s="1097"/>
      <c r="C14" s="414"/>
      <c r="D14" s="12"/>
      <c r="E14" s="414"/>
      <c r="F14" s="158"/>
      <c r="G14" s="414"/>
      <c r="H14" s="15"/>
      <c r="I14" s="433"/>
      <c r="J14" s="15"/>
      <c r="K14" s="12"/>
      <c r="L14" s="12"/>
      <c r="M14" s="414"/>
      <c r="N14" s="12"/>
      <c r="O14" s="414"/>
      <c r="P14" s="12"/>
      <c r="Q14" s="414"/>
      <c r="R14" s="12"/>
      <c r="S14" s="414"/>
      <c r="T14" s="12"/>
      <c r="U14" s="414"/>
      <c r="V14" s="12"/>
      <c r="W14" s="414"/>
      <c r="X14" s="11"/>
      <c r="Y14" s="364"/>
      <c r="Z14" s="11">
        <v>1</v>
      </c>
      <c r="AA14" s="364">
        <v>97.3</v>
      </c>
      <c r="AB14" s="11"/>
      <c r="AC14" s="364"/>
      <c r="AD14" s="11"/>
      <c r="AE14" s="364"/>
      <c r="AF14" s="11"/>
      <c r="AG14" s="364"/>
      <c r="AH14" s="11"/>
      <c r="AI14" s="364"/>
      <c r="AJ14" s="11"/>
      <c r="AK14" s="364"/>
      <c r="AL14" s="11"/>
      <c r="AM14" s="364"/>
      <c r="AN14" s="94">
        <f t="shared" si="1"/>
        <v>1</v>
      </c>
      <c r="AO14" s="1053">
        <f t="shared" si="1"/>
        <v>97.3</v>
      </c>
      <c r="AP14" s="184"/>
      <c r="AQ14" s="184"/>
      <c r="AS14" s="78"/>
      <c r="AT14" s="754"/>
    </row>
    <row r="15" spans="1:46" s="438" customFormat="1" ht="22.5" customHeight="1">
      <c r="A15" s="1102" t="s">
        <v>69</v>
      </c>
      <c r="B15" s="1099"/>
      <c r="C15" s="811"/>
      <c r="D15" s="797"/>
      <c r="E15" s="811"/>
      <c r="F15" s="241"/>
      <c r="G15" s="811"/>
      <c r="H15" s="18"/>
      <c r="I15" s="812"/>
      <c r="J15" s="18"/>
      <c r="K15" s="797"/>
      <c r="L15" s="797"/>
      <c r="M15" s="811"/>
      <c r="N15" s="797"/>
      <c r="O15" s="811"/>
      <c r="P15" s="797">
        <v>8</v>
      </c>
      <c r="Q15" s="811">
        <v>781.4</v>
      </c>
      <c r="R15" s="797"/>
      <c r="S15" s="811"/>
      <c r="T15" s="797"/>
      <c r="U15" s="811"/>
      <c r="V15" s="797"/>
      <c r="W15" s="811"/>
      <c r="X15" s="17"/>
      <c r="Y15" s="413"/>
      <c r="Z15" s="17">
        <v>3</v>
      </c>
      <c r="AA15" s="413">
        <v>285.3</v>
      </c>
      <c r="AB15" s="17">
        <v>6</v>
      </c>
      <c r="AC15" s="413">
        <v>1359.4</v>
      </c>
      <c r="AD15" s="17"/>
      <c r="AE15" s="413"/>
      <c r="AF15" s="17">
        <v>8</v>
      </c>
      <c r="AG15" s="413">
        <v>1071.7</v>
      </c>
      <c r="AH15" s="17"/>
      <c r="AI15" s="413"/>
      <c r="AJ15" s="17">
        <v>16</v>
      </c>
      <c r="AK15" s="413">
        <v>1634.1</v>
      </c>
      <c r="AL15" s="17">
        <v>2</v>
      </c>
      <c r="AM15" s="413">
        <v>245.1</v>
      </c>
      <c r="AN15" s="165">
        <f t="shared" si="1"/>
        <v>43</v>
      </c>
      <c r="AO15" s="1054">
        <f t="shared" si="1"/>
        <v>5377</v>
      </c>
      <c r="AP15" s="256"/>
      <c r="AQ15" s="256"/>
      <c r="AS15" s="439"/>
      <c r="AT15" s="81"/>
    </row>
    <row r="16" spans="1:46" s="59" customFormat="1" ht="24.75" customHeight="1">
      <c r="A16" s="1103" t="s">
        <v>494</v>
      </c>
      <c r="B16" s="1097"/>
      <c r="C16" s="414"/>
      <c r="D16" s="12"/>
      <c r="E16" s="414"/>
      <c r="F16" s="158"/>
      <c r="G16" s="414"/>
      <c r="H16" s="15"/>
      <c r="I16" s="433"/>
      <c r="J16" s="15"/>
      <c r="K16" s="12"/>
      <c r="L16" s="12"/>
      <c r="M16" s="414"/>
      <c r="N16" s="12"/>
      <c r="O16" s="414"/>
      <c r="P16" s="12"/>
      <c r="Q16" s="414"/>
      <c r="R16" s="12"/>
      <c r="S16" s="414"/>
      <c r="T16" s="12"/>
      <c r="U16" s="414"/>
      <c r="V16" s="12"/>
      <c r="W16" s="414"/>
      <c r="X16" s="11"/>
      <c r="Y16" s="364"/>
      <c r="Z16" s="11"/>
      <c r="AA16" s="364"/>
      <c r="AB16" s="11"/>
      <c r="AC16" s="364"/>
      <c r="AD16" s="11"/>
      <c r="AE16" s="364"/>
      <c r="AF16" s="11"/>
      <c r="AG16" s="364"/>
      <c r="AH16" s="11"/>
      <c r="AI16" s="364"/>
      <c r="AJ16" s="11"/>
      <c r="AK16" s="364"/>
      <c r="AL16" s="11"/>
      <c r="AM16" s="364"/>
      <c r="AN16" s="94"/>
      <c r="AO16" s="1053"/>
      <c r="AP16"/>
      <c r="AQ16"/>
      <c r="AR16" s="7"/>
      <c r="AS16" s="85"/>
      <c r="AT16" s="135"/>
    </row>
    <row r="17" spans="1:46" s="59" customFormat="1" ht="24.75" customHeight="1">
      <c r="A17" s="1101" t="s">
        <v>429</v>
      </c>
      <c r="B17" s="1097"/>
      <c r="C17" s="414"/>
      <c r="D17" s="12"/>
      <c r="E17" s="414"/>
      <c r="F17" s="158"/>
      <c r="G17" s="414"/>
      <c r="H17" s="15"/>
      <c r="I17" s="433"/>
      <c r="J17" s="15"/>
      <c r="K17" s="12"/>
      <c r="L17" s="12"/>
      <c r="M17" s="414"/>
      <c r="N17" s="12"/>
      <c r="O17" s="414"/>
      <c r="P17" s="12"/>
      <c r="Q17" s="414"/>
      <c r="R17" s="12"/>
      <c r="S17" s="414"/>
      <c r="T17" s="12"/>
      <c r="U17" s="414"/>
      <c r="V17" s="12"/>
      <c r="W17" s="414"/>
      <c r="X17" s="11"/>
      <c r="Y17" s="364"/>
      <c r="Z17" s="11">
        <v>1</v>
      </c>
      <c r="AA17" s="364">
        <v>69.1</v>
      </c>
      <c r="AB17" s="11"/>
      <c r="AC17" s="364"/>
      <c r="AD17" s="11"/>
      <c r="AE17" s="364"/>
      <c r="AF17" s="11"/>
      <c r="AG17" s="364"/>
      <c r="AH17" s="11"/>
      <c r="AI17" s="364"/>
      <c r="AJ17" s="11"/>
      <c r="AK17" s="364"/>
      <c r="AL17" s="11"/>
      <c r="AM17" s="364"/>
      <c r="AN17" s="94">
        <f>SUM(B17,D17,F17,H17,J17,L17,N17,P17,R17,T17,V17,X17,Z17,AB17,AD17,AF17,AH17,AJ17,AL17)</f>
        <v>1</v>
      </c>
      <c r="AO17" s="1053">
        <f>SUM(C17,E17,G17,I17,K17,M17,O17,Q17,S17,U17,W17,Y17,AA17,AC17,AE17,AG17,AI17,AK17,AM17)</f>
        <v>69.1</v>
      </c>
      <c r="AP17"/>
      <c r="AQ17"/>
      <c r="AR17" s="7"/>
      <c r="AS17" s="85"/>
      <c r="AT17" s="135"/>
    </row>
    <row r="18" spans="1:46" s="59" customFormat="1" ht="24.75" customHeight="1">
      <c r="A18" s="1101" t="s">
        <v>72</v>
      </c>
      <c r="B18" s="1097"/>
      <c r="C18" s="414"/>
      <c r="D18" s="12"/>
      <c r="E18" s="414"/>
      <c r="F18" s="158">
        <v>12</v>
      </c>
      <c r="G18" s="414">
        <v>2175.3</v>
      </c>
      <c r="H18" s="15">
        <v>14</v>
      </c>
      <c r="I18" s="433">
        <v>2536</v>
      </c>
      <c r="J18" s="15"/>
      <c r="K18" s="12"/>
      <c r="L18" s="12"/>
      <c r="M18" s="414"/>
      <c r="N18" s="12"/>
      <c r="O18" s="414"/>
      <c r="P18" s="12">
        <v>5</v>
      </c>
      <c r="Q18" s="414">
        <v>1907.2</v>
      </c>
      <c r="R18" s="12">
        <v>3</v>
      </c>
      <c r="S18" s="414">
        <v>817.5</v>
      </c>
      <c r="T18" s="12"/>
      <c r="U18" s="414"/>
      <c r="V18" s="12">
        <v>1</v>
      </c>
      <c r="W18" s="414">
        <v>674</v>
      </c>
      <c r="X18" s="11">
        <f>11+1</f>
        <v>12</v>
      </c>
      <c r="Y18" s="364">
        <f>1663.2+515.4+825.2+1244.4</f>
        <v>4248.200000000001</v>
      </c>
      <c r="Z18" s="11">
        <v>15</v>
      </c>
      <c r="AA18" s="364">
        <f>1375.8+2549.3+5+202.8</f>
        <v>4132.900000000001</v>
      </c>
      <c r="AB18" s="11">
        <v>2</v>
      </c>
      <c r="AC18" s="364">
        <v>985.7</v>
      </c>
      <c r="AD18" s="11">
        <v>6</v>
      </c>
      <c r="AE18" s="364">
        <v>1151.7</v>
      </c>
      <c r="AF18" s="11">
        <f>10+14+15</f>
        <v>39</v>
      </c>
      <c r="AG18" s="364">
        <f>1041.7+792.4+1265+1243.8+411.4</f>
        <v>4754.299999999999</v>
      </c>
      <c r="AH18" s="11">
        <v>4</v>
      </c>
      <c r="AI18" s="364">
        <v>286.7</v>
      </c>
      <c r="AJ18" s="11"/>
      <c r="AK18" s="364">
        <v>2228.7</v>
      </c>
      <c r="AL18" s="11"/>
      <c r="AM18" s="364"/>
      <c r="AN18" s="94">
        <f>SUM(B18,D18,F18,H18,J18,L18,N18,P18,R18,T18,V18,X18,Z18,AB18,AD18,AF18,AH18,AJ18,AL18)</f>
        <v>113</v>
      </c>
      <c r="AO18" s="1053">
        <f>SUM(C18,E18,G18,I18,K18,M18,O18,Q18,S18,U18,W18,Y18,AA18,AC18,AE18,AG18,AI18,AK18,AM18)</f>
        <v>25898.200000000004</v>
      </c>
      <c r="AP18"/>
      <c r="AQ18"/>
      <c r="AR18" s="7"/>
      <c r="AS18" s="85"/>
      <c r="AT18" s="135"/>
    </row>
    <row r="19" spans="1:46" s="96" customFormat="1" ht="24.75" customHeight="1">
      <c r="A19" s="1104" t="s">
        <v>433</v>
      </c>
      <c r="B19" s="1097"/>
      <c r="C19" s="414"/>
      <c r="D19" s="12"/>
      <c r="E19" s="414"/>
      <c r="F19" s="158"/>
      <c r="G19" s="414"/>
      <c r="H19" s="15"/>
      <c r="I19" s="433"/>
      <c r="J19" s="15"/>
      <c r="K19" s="12"/>
      <c r="L19" s="12"/>
      <c r="M19" s="414"/>
      <c r="N19" s="12"/>
      <c r="O19" s="414"/>
      <c r="P19" s="12"/>
      <c r="Q19" s="414"/>
      <c r="R19" s="12"/>
      <c r="S19" s="414"/>
      <c r="T19" s="12"/>
      <c r="U19" s="414"/>
      <c r="V19" s="12"/>
      <c r="W19" s="414"/>
      <c r="X19" s="11"/>
      <c r="Y19" s="364"/>
      <c r="Z19" s="11">
        <v>1</v>
      </c>
      <c r="AA19" s="364">
        <v>96.5</v>
      </c>
      <c r="AB19" s="11"/>
      <c r="AC19" s="364"/>
      <c r="AD19" s="11"/>
      <c r="AE19" s="364"/>
      <c r="AF19" s="11"/>
      <c r="AG19" s="364"/>
      <c r="AH19" s="11"/>
      <c r="AI19" s="364"/>
      <c r="AJ19" s="11"/>
      <c r="AK19" s="364"/>
      <c r="AL19" s="11"/>
      <c r="AM19" s="364"/>
      <c r="AN19" s="94">
        <f aca="true" t="shared" si="2" ref="AN19:AO21">SUM(B19,D19,F19,H19,J19,L19,N19,P19,R19,T19,V19,X19,Z19,AB19,AD19,AF19,AH19,AJ19,AL19)</f>
        <v>1</v>
      </c>
      <c r="AO19" s="1053">
        <f t="shared" si="2"/>
        <v>96.5</v>
      </c>
      <c r="AP19" s="184"/>
      <c r="AQ19" s="184"/>
      <c r="AR19" s="435"/>
      <c r="AS19" s="436"/>
      <c r="AT19" s="437"/>
    </row>
    <row r="20" spans="1:46" s="96" customFormat="1" ht="24.75" customHeight="1">
      <c r="A20" s="1104" t="s">
        <v>434</v>
      </c>
      <c r="B20" s="1097">
        <v>6</v>
      </c>
      <c r="C20" s="414">
        <v>150.2</v>
      </c>
      <c r="D20" s="12"/>
      <c r="E20" s="414"/>
      <c r="F20" s="158"/>
      <c r="G20" s="414"/>
      <c r="H20" s="15"/>
      <c r="I20" s="433"/>
      <c r="J20" s="15"/>
      <c r="K20" s="12"/>
      <c r="L20" s="12"/>
      <c r="M20" s="414"/>
      <c r="N20" s="12"/>
      <c r="O20" s="414"/>
      <c r="P20" s="12"/>
      <c r="Q20" s="414"/>
      <c r="R20" s="12"/>
      <c r="S20" s="414"/>
      <c r="T20" s="12"/>
      <c r="U20" s="414"/>
      <c r="V20" s="12"/>
      <c r="W20" s="414"/>
      <c r="X20" s="11"/>
      <c r="Y20" s="364"/>
      <c r="Z20" s="11"/>
      <c r="AA20" s="364"/>
      <c r="AB20" s="11"/>
      <c r="AC20" s="364"/>
      <c r="AD20" s="11"/>
      <c r="AE20" s="364"/>
      <c r="AF20" s="11"/>
      <c r="AG20" s="364"/>
      <c r="AH20" s="11"/>
      <c r="AI20" s="364"/>
      <c r="AJ20" s="11"/>
      <c r="AK20" s="364"/>
      <c r="AL20" s="11"/>
      <c r="AM20" s="364"/>
      <c r="AN20" s="94">
        <f t="shared" si="2"/>
        <v>6</v>
      </c>
      <c r="AO20" s="1053">
        <f t="shared" si="2"/>
        <v>150.2</v>
      </c>
      <c r="AP20" s="184"/>
      <c r="AQ20" s="184"/>
      <c r="AR20" s="435"/>
      <c r="AS20" s="436"/>
      <c r="AT20" s="437"/>
    </row>
    <row r="21" spans="1:46" s="96" customFormat="1" ht="24.75" customHeight="1">
      <c r="A21" s="1104" t="s">
        <v>435</v>
      </c>
      <c r="B21" s="1097"/>
      <c r="C21" s="414"/>
      <c r="D21" s="12"/>
      <c r="E21" s="414"/>
      <c r="F21" s="158"/>
      <c r="G21" s="414"/>
      <c r="H21" s="15"/>
      <c r="I21" s="433"/>
      <c r="J21" s="15"/>
      <c r="K21" s="12"/>
      <c r="L21" s="12"/>
      <c r="M21" s="414"/>
      <c r="N21" s="12"/>
      <c r="O21" s="414"/>
      <c r="P21" s="12"/>
      <c r="Q21" s="414"/>
      <c r="R21" s="12"/>
      <c r="S21" s="414"/>
      <c r="T21" s="12"/>
      <c r="U21" s="414"/>
      <c r="V21" s="12"/>
      <c r="W21" s="414"/>
      <c r="X21" s="11"/>
      <c r="Y21" s="364"/>
      <c r="Z21" s="11">
        <v>1</v>
      </c>
      <c r="AA21" s="364">
        <v>114.8</v>
      </c>
      <c r="AB21" s="11"/>
      <c r="AC21" s="364"/>
      <c r="AD21" s="11"/>
      <c r="AE21" s="364"/>
      <c r="AF21" s="11"/>
      <c r="AG21" s="364"/>
      <c r="AH21" s="11"/>
      <c r="AI21" s="364"/>
      <c r="AJ21" s="11"/>
      <c r="AK21" s="364"/>
      <c r="AL21" s="11"/>
      <c r="AM21" s="364"/>
      <c r="AN21" s="94">
        <f t="shared" si="2"/>
        <v>1</v>
      </c>
      <c r="AO21" s="1053">
        <f t="shared" si="2"/>
        <v>114.8</v>
      </c>
      <c r="AP21" s="184"/>
      <c r="AQ21" s="184"/>
      <c r="AR21" s="435"/>
      <c r="AS21" s="436"/>
      <c r="AT21" s="437"/>
    </row>
    <row r="22" spans="1:46" s="96" customFormat="1" ht="24.75" customHeight="1">
      <c r="A22" s="1104" t="s">
        <v>208</v>
      </c>
      <c r="B22" s="1097"/>
      <c r="C22" s="414"/>
      <c r="D22" s="12"/>
      <c r="E22" s="414"/>
      <c r="F22" s="158"/>
      <c r="G22" s="414"/>
      <c r="H22" s="15"/>
      <c r="I22" s="433"/>
      <c r="J22" s="15"/>
      <c r="K22" s="12"/>
      <c r="L22" s="12"/>
      <c r="M22" s="414"/>
      <c r="N22" s="12"/>
      <c r="O22" s="414"/>
      <c r="P22" s="12"/>
      <c r="Q22" s="414"/>
      <c r="R22" s="12"/>
      <c r="S22" s="414"/>
      <c r="T22" s="12"/>
      <c r="U22" s="414"/>
      <c r="V22" s="12"/>
      <c r="W22" s="414"/>
      <c r="X22" s="11"/>
      <c r="Y22" s="364"/>
      <c r="Z22" s="11">
        <v>1</v>
      </c>
      <c r="AA22" s="364">
        <v>124.5</v>
      </c>
      <c r="AB22" s="11"/>
      <c r="AC22" s="364"/>
      <c r="AD22" s="11"/>
      <c r="AE22" s="364"/>
      <c r="AF22" s="11"/>
      <c r="AG22" s="364"/>
      <c r="AH22" s="11"/>
      <c r="AI22" s="364"/>
      <c r="AJ22" s="11"/>
      <c r="AK22" s="364"/>
      <c r="AL22" s="11"/>
      <c r="AM22" s="364"/>
      <c r="AN22" s="94">
        <f aca="true" t="shared" si="3" ref="AN22:AO28">SUM(B22,D22,F22,H22,J22,L22,N22,P22,R22,T22,V22,X22,Z22,AB22,AD22,AF22,AH22,AJ22,AL22)</f>
        <v>1</v>
      </c>
      <c r="AO22" s="1053">
        <f t="shared" si="3"/>
        <v>124.5</v>
      </c>
      <c r="AP22" s="184"/>
      <c r="AQ22" s="184"/>
      <c r="AR22" s="435"/>
      <c r="AS22" s="436"/>
      <c r="AT22" s="437"/>
    </row>
    <row r="23" spans="1:46" s="96" customFormat="1" ht="24.75" customHeight="1">
      <c r="A23" s="1104" t="s">
        <v>436</v>
      </c>
      <c r="B23" s="1097"/>
      <c r="C23" s="414"/>
      <c r="D23" s="12"/>
      <c r="E23" s="414"/>
      <c r="F23" s="158"/>
      <c r="G23" s="414"/>
      <c r="H23" s="15"/>
      <c r="I23" s="433"/>
      <c r="J23" s="15"/>
      <c r="K23" s="12"/>
      <c r="L23" s="12"/>
      <c r="M23" s="414"/>
      <c r="N23" s="12"/>
      <c r="O23" s="414"/>
      <c r="P23" s="12"/>
      <c r="Q23" s="414"/>
      <c r="R23" s="12"/>
      <c r="S23" s="414"/>
      <c r="T23" s="12"/>
      <c r="U23" s="414"/>
      <c r="V23" s="12"/>
      <c r="W23" s="414"/>
      <c r="X23" s="11"/>
      <c r="Y23" s="364"/>
      <c r="Z23" s="11">
        <v>1</v>
      </c>
      <c r="AA23" s="364">
        <v>113.8</v>
      </c>
      <c r="AB23" s="11"/>
      <c r="AC23" s="364"/>
      <c r="AD23" s="11"/>
      <c r="AE23" s="364"/>
      <c r="AF23" s="11"/>
      <c r="AG23" s="364"/>
      <c r="AH23" s="11"/>
      <c r="AI23" s="364"/>
      <c r="AJ23" s="11"/>
      <c r="AK23" s="364"/>
      <c r="AL23" s="11"/>
      <c r="AM23" s="364"/>
      <c r="AN23" s="94">
        <f t="shared" si="3"/>
        <v>1</v>
      </c>
      <c r="AO23" s="1053">
        <f t="shared" si="3"/>
        <v>113.8</v>
      </c>
      <c r="AP23" s="184"/>
      <c r="AQ23" s="184"/>
      <c r="AR23" s="435"/>
      <c r="AS23" s="436"/>
      <c r="AT23" s="437"/>
    </row>
    <row r="24" spans="1:46" s="96" customFormat="1" ht="24.75" customHeight="1">
      <c r="A24" s="1104" t="s">
        <v>449</v>
      </c>
      <c r="B24" s="1097">
        <v>5</v>
      </c>
      <c r="C24" s="414">
        <v>558.1</v>
      </c>
      <c r="D24" s="12"/>
      <c r="E24" s="414"/>
      <c r="F24" s="158"/>
      <c r="G24" s="414"/>
      <c r="H24" s="15"/>
      <c r="I24" s="433"/>
      <c r="J24" s="15"/>
      <c r="K24" s="12"/>
      <c r="L24" s="12"/>
      <c r="M24" s="414"/>
      <c r="N24" s="12"/>
      <c r="O24" s="414"/>
      <c r="P24" s="12"/>
      <c r="Q24" s="414"/>
      <c r="R24" s="12"/>
      <c r="S24" s="414"/>
      <c r="T24" s="12"/>
      <c r="U24" s="414"/>
      <c r="V24" s="12"/>
      <c r="W24" s="414"/>
      <c r="X24" s="11"/>
      <c r="Y24" s="364"/>
      <c r="Z24" s="11"/>
      <c r="AA24" s="364"/>
      <c r="AB24" s="11"/>
      <c r="AC24" s="364"/>
      <c r="AD24" s="11"/>
      <c r="AE24" s="364"/>
      <c r="AF24" s="11"/>
      <c r="AG24" s="364"/>
      <c r="AH24" s="11"/>
      <c r="AI24" s="364"/>
      <c r="AJ24" s="11"/>
      <c r="AK24" s="364"/>
      <c r="AL24" s="11"/>
      <c r="AM24" s="364"/>
      <c r="AN24" s="94">
        <f t="shared" si="3"/>
        <v>5</v>
      </c>
      <c r="AO24" s="1053">
        <f t="shared" si="3"/>
        <v>558.1</v>
      </c>
      <c r="AP24" s="184"/>
      <c r="AQ24" s="184"/>
      <c r="AR24" s="435"/>
      <c r="AS24" s="436"/>
      <c r="AT24" s="437"/>
    </row>
    <row r="25" spans="1:46" s="96" customFormat="1" ht="24.75" customHeight="1">
      <c r="A25" s="1104" t="s">
        <v>450</v>
      </c>
      <c r="B25" s="1097"/>
      <c r="C25" s="414"/>
      <c r="D25" s="12"/>
      <c r="E25" s="414"/>
      <c r="F25" s="158"/>
      <c r="G25" s="414"/>
      <c r="H25" s="15">
        <v>7</v>
      </c>
      <c r="I25" s="433">
        <f>608.3+502.5</f>
        <v>1110.8</v>
      </c>
      <c r="J25" s="15"/>
      <c r="K25" s="12"/>
      <c r="L25" s="12"/>
      <c r="M25" s="414"/>
      <c r="N25" s="12"/>
      <c r="O25" s="414"/>
      <c r="P25" s="12"/>
      <c r="Q25" s="414"/>
      <c r="R25" s="12"/>
      <c r="S25" s="414"/>
      <c r="T25" s="12"/>
      <c r="U25" s="414"/>
      <c r="V25" s="12"/>
      <c r="W25" s="414"/>
      <c r="X25" s="11"/>
      <c r="Y25" s="364"/>
      <c r="Z25" s="11"/>
      <c r="AA25" s="364"/>
      <c r="AB25" s="11"/>
      <c r="AC25" s="364"/>
      <c r="AD25" s="11"/>
      <c r="AE25" s="364"/>
      <c r="AF25" s="11"/>
      <c r="AG25" s="364"/>
      <c r="AH25" s="11"/>
      <c r="AI25" s="364"/>
      <c r="AJ25" s="11"/>
      <c r="AK25" s="364"/>
      <c r="AL25" s="11"/>
      <c r="AM25" s="364"/>
      <c r="AN25" s="94">
        <f t="shared" si="3"/>
        <v>7</v>
      </c>
      <c r="AO25" s="1053">
        <f t="shared" si="3"/>
        <v>1110.8</v>
      </c>
      <c r="AP25" s="184"/>
      <c r="AQ25" s="184"/>
      <c r="AR25" s="435"/>
      <c r="AS25" s="436"/>
      <c r="AT25" s="437"/>
    </row>
    <row r="26" spans="1:46" s="96" customFormat="1" ht="24.75" customHeight="1">
      <c r="A26" s="1104" t="s">
        <v>441</v>
      </c>
      <c r="B26" s="1097"/>
      <c r="C26" s="414"/>
      <c r="D26" s="12"/>
      <c r="E26" s="414"/>
      <c r="F26" s="158"/>
      <c r="G26" s="414"/>
      <c r="H26" s="15"/>
      <c r="I26" s="433"/>
      <c r="J26" s="15"/>
      <c r="K26" s="12"/>
      <c r="L26" s="12"/>
      <c r="M26" s="414"/>
      <c r="N26" s="12"/>
      <c r="O26" s="414"/>
      <c r="P26" s="12"/>
      <c r="Q26" s="414"/>
      <c r="R26" s="12"/>
      <c r="S26" s="414"/>
      <c r="T26" s="12"/>
      <c r="U26" s="414"/>
      <c r="V26" s="12"/>
      <c r="W26" s="414"/>
      <c r="X26" s="11"/>
      <c r="Y26" s="364"/>
      <c r="Z26" s="11">
        <v>1</v>
      </c>
      <c r="AA26" s="364">
        <v>101.9</v>
      </c>
      <c r="AB26" s="11"/>
      <c r="AC26" s="364"/>
      <c r="AD26" s="11"/>
      <c r="AE26" s="364"/>
      <c r="AF26" s="11"/>
      <c r="AG26" s="364"/>
      <c r="AH26" s="11"/>
      <c r="AI26" s="364"/>
      <c r="AJ26" s="11"/>
      <c r="AK26" s="364"/>
      <c r="AL26" s="11"/>
      <c r="AM26" s="364"/>
      <c r="AN26" s="94">
        <f t="shared" si="3"/>
        <v>1</v>
      </c>
      <c r="AO26" s="1053">
        <f t="shared" si="3"/>
        <v>101.9</v>
      </c>
      <c r="AP26" s="184"/>
      <c r="AQ26" s="184"/>
      <c r="AR26" s="435"/>
      <c r="AS26" s="436"/>
      <c r="AT26" s="437"/>
    </row>
    <row r="27" spans="1:46" s="96" customFormat="1" ht="24.75" customHeight="1">
      <c r="A27" s="1104" t="s">
        <v>442</v>
      </c>
      <c r="B27" s="1097">
        <v>6</v>
      </c>
      <c r="C27" s="414">
        <v>643.7</v>
      </c>
      <c r="D27" s="12"/>
      <c r="E27" s="414"/>
      <c r="F27" s="158"/>
      <c r="G27" s="414"/>
      <c r="H27" s="15"/>
      <c r="I27" s="433"/>
      <c r="J27" s="15"/>
      <c r="K27" s="12"/>
      <c r="L27" s="12"/>
      <c r="M27" s="414"/>
      <c r="N27" s="12"/>
      <c r="O27" s="414"/>
      <c r="P27" s="12"/>
      <c r="Q27" s="414"/>
      <c r="R27" s="12"/>
      <c r="S27" s="414"/>
      <c r="T27" s="12"/>
      <c r="U27" s="414"/>
      <c r="V27" s="12"/>
      <c r="W27" s="414"/>
      <c r="X27" s="11"/>
      <c r="Y27" s="364"/>
      <c r="Z27" s="11"/>
      <c r="AA27" s="364"/>
      <c r="AB27" s="11"/>
      <c r="AC27" s="364"/>
      <c r="AD27" s="11"/>
      <c r="AE27" s="364"/>
      <c r="AF27" s="11"/>
      <c r="AG27" s="364"/>
      <c r="AH27" s="11"/>
      <c r="AI27" s="364"/>
      <c r="AJ27" s="11"/>
      <c r="AK27" s="364"/>
      <c r="AL27" s="11"/>
      <c r="AM27" s="364"/>
      <c r="AN27" s="94">
        <f t="shared" si="3"/>
        <v>6</v>
      </c>
      <c r="AO27" s="1053">
        <f t="shared" si="3"/>
        <v>643.7</v>
      </c>
      <c r="AP27" s="184"/>
      <c r="AQ27" s="184"/>
      <c r="AR27" s="435"/>
      <c r="AS27" s="436"/>
      <c r="AT27" s="437"/>
    </row>
    <row r="28" spans="1:46" s="96" customFormat="1" ht="24.75" customHeight="1">
      <c r="A28" s="1105" t="s">
        <v>446</v>
      </c>
      <c r="B28" s="1099"/>
      <c r="C28" s="811"/>
      <c r="D28" s="797"/>
      <c r="E28" s="811"/>
      <c r="F28" s="241"/>
      <c r="G28" s="811"/>
      <c r="H28" s="18"/>
      <c r="I28" s="812"/>
      <c r="J28" s="18"/>
      <c r="K28" s="797"/>
      <c r="L28" s="797"/>
      <c r="M28" s="811"/>
      <c r="N28" s="797"/>
      <c r="O28" s="811"/>
      <c r="P28" s="797"/>
      <c r="Q28" s="811"/>
      <c r="R28" s="797"/>
      <c r="S28" s="811"/>
      <c r="T28" s="797"/>
      <c r="U28" s="811"/>
      <c r="V28" s="797"/>
      <c r="W28" s="811"/>
      <c r="X28" s="17"/>
      <c r="Y28" s="413"/>
      <c r="Z28" s="17">
        <v>1</v>
      </c>
      <c r="AA28" s="413">
        <v>130.9</v>
      </c>
      <c r="AB28" s="17"/>
      <c r="AC28" s="413"/>
      <c r="AD28" s="17"/>
      <c r="AE28" s="413"/>
      <c r="AF28" s="17"/>
      <c r="AG28" s="413"/>
      <c r="AH28" s="17"/>
      <c r="AI28" s="413"/>
      <c r="AJ28" s="17"/>
      <c r="AK28" s="413"/>
      <c r="AL28" s="17"/>
      <c r="AM28" s="413"/>
      <c r="AN28" s="165">
        <f t="shared" si="3"/>
        <v>1</v>
      </c>
      <c r="AO28" s="1054">
        <f t="shared" si="3"/>
        <v>130.9</v>
      </c>
      <c r="AP28" s="184"/>
      <c r="AQ28" s="184"/>
      <c r="AR28" s="435"/>
      <c r="AS28" s="436"/>
      <c r="AT28" s="437"/>
    </row>
    <row r="29" spans="1:46" s="351" customFormat="1" ht="23.25" customHeight="1">
      <c r="A29" s="1103" t="s">
        <v>518</v>
      </c>
      <c r="B29" s="1097"/>
      <c r="C29" s="364"/>
      <c r="D29" s="11"/>
      <c r="E29" s="364"/>
      <c r="F29" s="11"/>
      <c r="G29" s="364"/>
      <c r="H29" s="11"/>
      <c r="I29" s="364"/>
      <c r="J29" s="11"/>
      <c r="K29" s="11"/>
      <c r="L29" s="11"/>
      <c r="M29" s="364"/>
      <c r="N29" s="11"/>
      <c r="O29" s="364"/>
      <c r="P29" s="11"/>
      <c r="Q29" s="364"/>
      <c r="R29" s="11"/>
      <c r="S29" s="364"/>
      <c r="T29" s="11"/>
      <c r="U29" s="364"/>
      <c r="V29" s="11"/>
      <c r="W29" s="364"/>
      <c r="X29" s="11"/>
      <c r="Y29" s="364"/>
      <c r="Z29" s="11"/>
      <c r="AA29" s="364"/>
      <c r="AB29" s="11"/>
      <c r="AC29" s="364"/>
      <c r="AD29" s="11"/>
      <c r="AE29" s="364"/>
      <c r="AF29" s="11"/>
      <c r="AG29" s="364"/>
      <c r="AH29" s="11"/>
      <c r="AI29" s="364"/>
      <c r="AJ29" s="11"/>
      <c r="AK29" s="364"/>
      <c r="AL29" s="11"/>
      <c r="AM29" s="364"/>
      <c r="AN29" s="94"/>
      <c r="AO29" s="1053"/>
      <c r="AP29" s="184"/>
      <c r="AQ29" s="184"/>
      <c r="AR29" s="752"/>
      <c r="AS29" s="436"/>
      <c r="AT29" s="755"/>
    </row>
    <row r="30" spans="1:46" s="96" customFormat="1" ht="24.75" customHeight="1">
      <c r="A30" s="1104" t="s">
        <v>146</v>
      </c>
      <c r="B30" s="1097"/>
      <c r="C30" s="414">
        <v>184.8</v>
      </c>
      <c r="D30" s="12"/>
      <c r="E30" s="414"/>
      <c r="F30" s="158"/>
      <c r="G30" s="414"/>
      <c r="H30" s="15"/>
      <c r="I30" s="433"/>
      <c r="J30" s="15"/>
      <c r="K30" s="12"/>
      <c r="L30" s="12"/>
      <c r="M30" s="414"/>
      <c r="N30" s="12"/>
      <c r="O30" s="414"/>
      <c r="P30" s="12"/>
      <c r="Q30" s="414">
        <v>646.1</v>
      </c>
      <c r="R30" s="12"/>
      <c r="S30" s="414"/>
      <c r="T30" s="12"/>
      <c r="U30" s="414"/>
      <c r="V30" s="12"/>
      <c r="W30" s="414"/>
      <c r="X30" s="11"/>
      <c r="Y30" s="364"/>
      <c r="Z30" s="11">
        <v>1</v>
      </c>
      <c r="AA30" s="364">
        <v>153.2</v>
      </c>
      <c r="AB30" s="11"/>
      <c r="AC30" s="364"/>
      <c r="AD30" s="11"/>
      <c r="AE30" s="364">
        <v>607.8</v>
      </c>
      <c r="AF30" s="11"/>
      <c r="AG30" s="364"/>
      <c r="AH30" s="11">
        <v>2</v>
      </c>
      <c r="AI30" s="364">
        <v>317.6</v>
      </c>
      <c r="AJ30" s="11"/>
      <c r="AK30" s="364">
        <v>309</v>
      </c>
      <c r="AL30" s="11"/>
      <c r="AM30" s="364"/>
      <c r="AN30" s="94">
        <f>SUM(B30,D30,F30,H30,J30,L30,N30,P30,R30,T30,V30,X30,Z30,AB30,AD30,AF30,AH30,AJ30,AL30)</f>
        <v>3</v>
      </c>
      <c r="AO30" s="1053">
        <f>SUM(C30,E30,G30,I30,K30,M30,O30,Q30,S30,U30,W30,Y30,AA30,AC30,AE30,AG30,AI30,AK30,AM30)</f>
        <v>2218.5</v>
      </c>
      <c r="AP30" s="184"/>
      <c r="AQ30" s="184"/>
      <c r="AR30" s="435"/>
      <c r="AS30" s="436"/>
      <c r="AT30" s="437"/>
    </row>
    <row r="31" spans="1:46" s="96" customFormat="1" ht="24.75" customHeight="1">
      <c r="A31" s="1104" t="s">
        <v>448</v>
      </c>
      <c r="B31" s="1097"/>
      <c r="C31" s="414"/>
      <c r="D31" s="12"/>
      <c r="E31" s="414"/>
      <c r="F31" s="158"/>
      <c r="G31" s="414"/>
      <c r="H31" s="15"/>
      <c r="I31" s="433"/>
      <c r="J31" s="15"/>
      <c r="K31" s="12"/>
      <c r="L31" s="12"/>
      <c r="M31" s="414"/>
      <c r="N31" s="12"/>
      <c r="O31" s="414"/>
      <c r="P31" s="12"/>
      <c r="Q31" s="414"/>
      <c r="R31" s="12"/>
      <c r="S31" s="414"/>
      <c r="T31" s="12"/>
      <c r="U31" s="414"/>
      <c r="V31" s="12"/>
      <c r="W31" s="414"/>
      <c r="X31" s="11"/>
      <c r="Y31" s="364"/>
      <c r="Z31" s="11"/>
      <c r="AA31" s="364"/>
      <c r="AB31" s="11"/>
      <c r="AC31" s="364"/>
      <c r="AD31" s="11"/>
      <c r="AE31" s="364"/>
      <c r="AF31" s="11"/>
      <c r="AG31" s="364">
        <v>568.7</v>
      </c>
      <c r="AH31" s="11"/>
      <c r="AI31" s="364"/>
      <c r="AJ31" s="11"/>
      <c r="AK31" s="364"/>
      <c r="AL31" s="11"/>
      <c r="AM31" s="364"/>
      <c r="AN31" s="94">
        <f>SUM(B31,D31,F31,H31,J31,L31,N31,P31,R31,T31,V31,X31,Z31,AB31,AD31,AF31,AH31,AJ31,AL31)</f>
        <v>0</v>
      </c>
      <c r="AO31" s="1053">
        <f>SUM(C31,E31,G31,I31,K31,M31,O31,Q31,S31,U31,W31,Y31,AA31,AC31,AE31,AG31,AI31,AK31,AM31)</f>
        <v>568.7</v>
      </c>
      <c r="AP31" s="184"/>
      <c r="AQ31" s="184"/>
      <c r="AR31" s="435"/>
      <c r="AS31" s="436"/>
      <c r="AT31" s="437"/>
    </row>
    <row r="32" spans="1:46" s="96" customFormat="1" ht="24.75" customHeight="1">
      <c r="A32" s="1104" t="s">
        <v>431</v>
      </c>
      <c r="B32" s="1097"/>
      <c r="C32" s="414"/>
      <c r="D32" s="12"/>
      <c r="E32" s="414"/>
      <c r="F32" s="158"/>
      <c r="G32" s="414"/>
      <c r="H32" s="15"/>
      <c r="I32" s="433"/>
      <c r="J32" s="15"/>
      <c r="K32" s="12"/>
      <c r="L32" s="12"/>
      <c r="M32" s="414"/>
      <c r="N32" s="12"/>
      <c r="O32" s="414"/>
      <c r="P32" s="12"/>
      <c r="Q32" s="414"/>
      <c r="R32" s="12"/>
      <c r="S32" s="414"/>
      <c r="T32" s="12"/>
      <c r="U32" s="414"/>
      <c r="V32" s="12"/>
      <c r="W32" s="414"/>
      <c r="X32" s="11"/>
      <c r="Y32" s="364"/>
      <c r="Z32" s="11">
        <v>2</v>
      </c>
      <c r="AA32" s="364">
        <v>387.2</v>
      </c>
      <c r="AB32" s="11"/>
      <c r="AC32" s="364"/>
      <c r="AD32" s="11"/>
      <c r="AE32" s="364"/>
      <c r="AF32" s="11"/>
      <c r="AG32" s="364"/>
      <c r="AH32" s="11">
        <v>2</v>
      </c>
      <c r="AI32" s="364">
        <v>390.3</v>
      </c>
      <c r="AJ32" s="11"/>
      <c r="AK32" s="364"/>
      <c r="AL32" s="11"/>
      <c r="AM32" s="364"/>
      <c r="AN32" s="94">
        <f aca="true" t="shared" si="4" ref="AN32:AN44">SUM(B32,D32,F32,H32,J32,L32,N32,P32,R32,T32,V32,X32,Z32,AB32,AD32,AF32,AH32,AJ32,AL32)</f>
        <v>4</v>
      </c>
      <c r="AO32" s="1053">
        <f aca="true" t="shared" si="5" ref="AO32:AO44">SUM(C32,E32,G32,I32,K32,M32,O32,Q32,S32,U32,W32,Y32,AA32,AC32,AE32,AG32,AI32,AK32,AM32)</f>
        <v>777.5</v>
      </c>
      <c r="AP32" s="184"/>
      <c r="AQ32" s="184"/>
      <c r="AR32" s="435"/>
      <c r="AS32" s="436"/>
      <c r="AT32" s="437"/>
    </row>
    <row r="33" spans="1:46" s="96" customFormat="1" ht="24.75" customHeight="1">
      <c r="A33" s="1104" t="s">
        <v>209</v>
      </c>
      <c r="B33" s="1097">
        <v>1</v>
      </c>
      <c r="C33" s="414">
        <v>509.5</v>
      </c>
      <c r="D33" s="12"/>
      <c r="E33" s="414"/>
      <c r="F33" s="158"/>
      <c r="G33" s="414"/>
      <c r="H33" s="15"/>
      <c r="I33" s="433"/>
      <c r="J33" s="15"/>
      <c r="K33" s="12"/>
      <c r="L33" s="12"/>
      <c r="M33" s="414"/>
      <c r="N33" s="12"/>
      <c r="O33" s="414"/>
      <c r="P33" s="12"/>
      <c r="Q33" s="414"/>
      <c r="R33" s="12"/>
      <c r="S33" s="414"/>
      <c r="T33" s="12"/>
      <c r="U33" s="414"/>
      <c r="V33" s="12"/>
      <c r="W33" s="414"/>
      <c r="X33" s="11"/>
      <c r="Y33" s="364"/>
      <c r="Z33" s="11">
        <v>2</v>
      </c>
      <c r="AA33" s="364">
        <v>319.2</v>
      </c>
      <c r="AB33" s="11"/>
      <c r="AC33" s="364">
        <v>114</v>
      </c>
      <c r="AD33" s="11"/>
      <c r="AE33" s="364"/>
      <c r="AF33" s="11">
        <v>1</v>
      </c>
      <c r="AG33" s="364">
        <v>374.9</v>
      </c>
      <c r="AH33" s="11"/>
      <c r="AI33" s="364"/>
      <c r="AJ33" s="11"/>
      <c r="AK33" s="364"/>
      <c r="AL33" s="11"/>
      <c r="AM33" s="364"/>
      <c r="AN33" s="94">
        <f t="shared" si="4"/>
        <v>4</v>
      </c>
      <c r="AO33" s="1053">
        <f t="shared" si="5"/>
        <v>1317.6</v>
      </c>
      <c r="AP33" s="184"/>
      <c r="AQ33" s="184"/>
      <c r="AR33" s="435"/>
      <c r="AS33" s="436"/>
      <c r="AT33" s="437"/>
    </row>
    <row r="34" spans="1:46" s="96" customFormat="1" ht="24.75" customHeight="1">
      <c r="A34" s="1104" t="s">
        <v>210</v>
      </c>
      <c r="B34" s="1097"/>
      <c r="C34" s="414"/>
      <c r="D34" s="12"/>
      <c r="E34" s="414"/>
      <c r="F34" s="158"/>
      <c r="G34" s="414"/>
      <c r="H34" s="15"/>
      <c r="I34" s="433"/>
      <c r="J34" s="15"/>
      <c r="K34" s="12"/>
      <c r="L34" s="12"/>
      <c r="M34" s="414"/>
      <c r="N34" s="12"/>
      <c r="O34" s="414"/>
      <c r="P34" s="12"/>
      <c r="Q34" s="414"/>
      <c r="R34" s="12"/>
      <c r="S34" s="414"/>
      <c r="T34" s="12"/>
      <c r="U34" s="414"/>
      <c r="V34" s="12"/>
      <c r="W34" s="414"/>
      <c r="X34" s="11"/>
      <c r="Y34" s="364"/>
      <c r="Z34" s="11">
        <v>3</v>
      </c>
      <c r="AA34" s="364">
        <v>490.8</v>
      </c>
      <c r="AB34" s="11"/>
      <c r="AC34" s="364"/>
      <c r="AD34" s="11"/>
      <c r="AE34" s="364"/>
      <c r="AF34" s="11"/>
      <c r="AG34" s="364"/>
      <c r="AH34" s="11"/>
      <c r="AI34" s="364"/>
      <c r="AJ34" s="11"/>
      <c r="AK34" s="364"/>
      <c r="AL34" s="11"/>
      <c r="AM34" s="364"/>
      <c r="AN34" s="94">
        <f t="shared" si="4"/>
        <v>3</v>
      </c>
      <c r="AO34" s="1053">
        <f t="shared" si="5"/>
        <v>490.8</v>
      </c>
      <c r="AP34" s="184"/>
      <c r="AQ34" s="184"/>
      <c r="AR34" s="435"/>
      <c r="AS34" s="436"/>
      <c r="AT34" s="437"/>
    </row>
    <row r="35" spans="1:46" s="96" customFormat="1" ht="24.75" customHeight="1">
      <c r="A35" s="1104" t="s">
        <v>211</v>
      </c>
      <c r="B35" s="1097"/>
      <c r="C35" s="414"/>
      <c r="D35" s="12"/>
      <c r="E35" s="414"/>
      <c r="F35" s="158"/>
      <c r="G35" s="414"/>
      <c r="H35" s="15"/>
      <c r="I35" s="433"/>
      <c r="J35" s="15"/>
      <c r="K35" s="12"/>
      <c r="L35" s="12"/>
      <c r="M35" s="414"/>
      <c r="N35" s="12"/>
      <c r="O35" s="414"/>
      <c r="P35" s="12"/>
      <c r="Q35" s="414"/>
      <c r="R35" s="12"/>
      <c r="S35" s="414"/>
      <c r="T35" s="12"/>
      <c r="U35" s="414"/>
      <c r="V35" s="12"/>
      <c r="W35" s="414">
        <v>164.3</v>
      </c>
      <c r="X35" s="11"/>
      <c r="Y35" s="364"/>
      <c r="Z35" s="11">
        <v>3</v>
      </c>
      <c r="AA35" s="364">
        <v>466.3</v>
      </c>
      <c r="AB35" s="11"/>
      <c r="AC35" s="364"/>
      <c r="AD35" s="11"/>
      <c r="AE35" s="364"/>
      <c r="AF35" s="11"/>
      <c r="AG35" s="364"/>
      <c r="AH35" s="11">
        <v>3</v>
      </c>
      <c r="AI35" s="364">
        <v>415.6</v>
      </c>
      <c r="AJ35" s="11"/>
      <c r="AK35" s="364"/>
      <c r="AL35" s="11"/>
      <c r="AM35" s="364"/>
      <c r="AN35" s="94">
        <f t="shared" si="4"/>
        <v>6</v>
      </c>
      <c r="AO35" s="1053">
        <f t="shared" si="5"/>
        <v>1046.2</v>
      </c>
      <c r="AP35" s="184"/>
      <c r="AQ35" s="184"/>
      <c r="AR35" s="435"/>
      <c r="AS35" s="436"/>
      <c r="AT35" s="437"/>
    </row>
    <row r="36" spans="1:46" s="96" customFormat="1" ht="24.75" customHeight="1">
      <c r="A36" s="1104" t="s">
        <v>439</v>
      </c>
      <c r="B36" s="1097"/>
      <c r="C36" s="414"/>
      <c r="D36" s="12"/>
      <c r="E36" s="414"/>
      <c r="F36" s="158"/>
      <c r="G36" s="414"/>
      <c r="H36" s="15"/>
      <c r="I36" s="433"/>
      <c r="J36" s="15"/>
      <c r="K36" s="12"/>
      <c r="L36" s="12"/>
      <c r="M36" s="414"/>
      <c r="N36" s="12"/>
      <c r="O36" s="414"/>
      <c r="P36" s="12"/>
      <c r="Q36" s="414"/>
      <c r="R36" s="12"/>
      <c r="S36" s="414"/>
      <c r="T36" s="12"/>
      <c r="U36" s="414"/>
      <c r="V36" s="12"/>
      <c r="W36" s="414"/>
      <c r="X36" s="11"/>
      <c r="Y36" s="364"/>
      <c r="Z36" s="11"/>
      <c r="AA36" s="364"/>
      <c r="AB36" s="11"/>
      <c r="AC36" s="364"/>
      <c r="AD36" s="11"/>
      <c r="AE36" s="364"/>
      <c r="AF36" s="11"/>
      <c r="AG36" s="364"/>
      <c r="AH36" s="11">
        <v>1</v>
      </c>
      <c r="AI36" s="364">
        <v>181.7</v>
      </c>
      <c r="AJ36" s="11"/>
      <c r="AK36" s="364"/>
      <c r="AL36" s="11"/>
      <c r="AM36" s="364"/>
      <c r="AN36" s="94">
        <f>SUM(B36,D36,F36,H36,J36,L36,N36,P36,R36,T36,V36,X36,Z36,AB36,AD36,AF36,AH36,AJ36,AL36)</f>
        <v>1</v>
      </c>
      <c r="AO36" s="1053">
        <f>SUM(C36,E36,G36,I36,K36,M36,O36,Q36,S36,U36,W36,Y36,AA36,AC36,AE36,AG36,AI36,AK36,AM36)</f>
        <v>181.7</v>
      </c>
      <c r="AP36" s="184"/>
      <c r="AQ36" s="184"/>
      <c r="AR36" s="435"/>
      <c r="AS36" s="436"/>
      <c r="AT36" s="437"/>
    </row>
    <row r="37" spans="1:46" s="96" customFormat="1" ht="24.75" customHeight="1">
      <c r="A37" s="1104" t="s">
        <v>440</v>
      </c>
      <c r="B37" s="1097"/>
      <c r="C37" s="414"/>
      <c r="D37" s="12"/>
      <c r="E37" s="414"/>
      <c r="F37" s="158"/>
      <c r="G37" s="414"/>
      <c r="H37" s="15"/>
      <c r="I37" s="433"/>
      <c r="J37" s="15"/>
      <c r="K37" s="12"/>
      <c r="L37" s="12"/>
      <c r="M37" s="414"/>
      <c r="N37" s="12"/>
      <c r="O37" s="414"/>
      <c r="P37" s="12"/>
      <c r="Q37" s="414"/>
      <c r="R37" s="12"/>
      <c r="S37" s="414"/>
      <c r="T37" s="12"/>
      <c r="U37" s="414"/>
      <c r="V37" s="12"/>
      <c r="W37" s="414"/>
      <c r="X37" s="11"/>
      <c r="Y37" s="364"/>
      <c r="Z37" s="11">
        <v>2</v>
      </c>
      <c r="AA37" s="364">
        <v>316.6</v>
      </c>
      <c r="AB37" s="11"/>
      <c r="AC37" s="364"/>
      <c r="AD37" s="11"/>
      <c r="AE37" s="364"/>
      <c r="AF37" s="11"/>
      <c r="AG37" s="364"/>
      <c r="AH37" s="11">
        <v>4</v>
      </c>
      <c r="AI37" s="364">
        <v>499.3</v>
      </c>
      <c r="AJ37" s="11"/>
      <c r="AK37" s="364"/>
      <c r="AL37" s="11"/>
      <c r="AM37" s="364"/>
      <c r="AN37" s="94">
        <f>SUM(B37,D37,F37,H37,J37,L37,N37,P37,R37,T37,V37,X37,Z37,AB37,AD37,AF37,AH37,AJ37,AL37)</f>
        <v>6</v>
      </c>
      <c r="AO37" s="1053">
        <f>SUM(C37,E37,G37,I37,K37,M37,O37,Q37,S37,U37,W37,Y37,AA37,AC37,AE37,AG37,AI37,AK37,AM37)</f>
        <v>815.9000000000001</v>
      </c>
      <c r="AP37" s="184"/>
      <c r="AQ37" s="184"/>
      <c r="AR37" s="435"/>
      <c r="AS37" s="436"/>
      <c r="AT37" s="437"/>
    </row>
    <row r="38" spans="1:46" s="96" customFormat="1" ht="24.75" customHeight="1">
      <c r="A38" s="1104" t="s">
        <v>213</v>
      </c>
      <c r="B38" s="1097"/>
      <c r="C38" s="414"/>
      <c r="D38" s="12"/>
      <c r="E38" s="414"/>
      <c r="F38" s="158"/>
      <c r="G38" s="414"/>
      <c r="H38" s="15"/>
      <c r="I38" s="433"/>
      <c r="J38" s="15"/>
      <c r="K38" s="12"/>
      <c r="L38" s="12"/>
      <c r="M38" s="414"/>
      <c r="N38" s="12"/>
      <c r="O38" s="414"/>
      <c r="P38" s="12"/>
      <c r="Q38" s="414"/>
      <c r="R38" s="12"/>
      <c r="S38" s="414"/>
      <c r="T38" s="12"/>
      <c r="U38" s="414"/>
      <c r="V38" s="12"/>
      <c r="W38" s="414"/>
      <c r="X38" s="11"/>
      <c r="Y38" s="364"/>
      <c r="Z38" s="11">
        <v>1</v>
      </c>
      <c r="AA38" s="364">
        <v>171.8</v>
      </c>
      <c r="AB38" s="11"/>
      <c r="AC38" s="364"/>
      <c r="AD38" s="11"/>
      <c r="AE38" s="364"/>
      <c r="AF38" s="11"/>
      <c r="AG38" s="364"/>
      <c r="AH38" s="11">
        <v>1</v>
      </c>
      <c r="AI38" s="364">
        <v>171.5</v>
      </c>
      <c r="AJ38" s="11"/>
      <c r="AK38" s="364"/>
      <c r="AL38" s="11"/>
      <c r="AM38" s="364"/>
      <c r="AN38" s="94">
        <f t="shared" si="4"/>
        <v>2</v>
      </c>
      <c r="AO38" s="1053">
        <f t="shared" si="5"/>
        <v>343.3</v>
      </c>
      <c r="AP38" s="184"/>
      <c r="AQ38" s="184"/>
      <c r="AR38" s="435"/>
      <c r="AS38" s="436"/>
      <c r="AT38" s="437"/>
    </row>
    <row r="39" spans="1:46" s="96" customFormat="1" ht="24.75" customHeight="1">
      <c r="A39" s="1104" t="s">
        <v>169</v>
      </c>
      <c r="B39" s="1097"/>
      <c r="C39" s="414">
        <v>185.9</v>
      </c>
      <c r="D39" s="12"/>
      <c r="E39" s="414"/>
      <c r="F39" s="158"/>
      <c r="G39" s="414"/>
      <c r="H39" s="15"/>
      <c r="I39" s="433"/>
      <c r="J39" s="15"/>
      <c r="K39" s="12"/>
      <c r="L39" s="12"/>
      <c r="M39" s="414"/>
      <c r="N39" s="12"/>
      <c r="O39" s="414"/>
      <c r="P39" s="12"/>
      <c r="Q39" s="414"/>
      <c r="R39" s="12"/>
      <c r="S39" s="414"/>
      <c r="T39" s="12"/>
      <c r="U39" s="414"/>
      <c r="V39" s="12"/>
      <c r="W39" s="414"/>
      <c r="X39" s="11"/>
      <c r="Y39" s="364"/>
      <c r="Z39" s="11">
        <v>1</v>
      </c>
      <c r="AA39" s="364">
        <v>165.1</v>
      </c>
      <c r="AB39" s="11"/>
      <c r="AC39" s="364"/>
      <c r="AD39" s="11"/>
      <c r="AE39" s="364"/>
      <c r="AF39" s="11"/>
      <c r="AG39" s="364"/>
      <c r="AH39" s="11">
        <v>1</v>
      </c>
      <c r="AI39" s="364">
        <v>292.6</v>
      </c>
      <c r="AJ39" s="11"/>
      <c r="AK39" s="364"/>
      <c r="AL39" s="11"/>
      <c r="AM39" s="364"/>
      <c r="AN39" s="94">
        <f t="shared" si="4"/>
        <v>2</v>
      </c>
      <c r="AO39" s="1053">
        <f t="shared" si="5"/>
        <v>643.6</v>
      </c>
      <c r="AP39" s="184"/>
      <c r="AQ39" s="184"/>
      <c r="AR39" s="435"/>
      <c r="AS39" s="436"/>
      <c r="AT39" s="437"/>
    </row>
    <row r="40" spans="1:46" s="96" customFormat="1" ht="24.75" customHeight="1">
      <c r="A40" s="1104" t="s">
        <v>215</v>
      </c>
      <c r="B40" s="1097"/>
      <c r="C40" s="414">
        <v>122.7</v>
      </c>
      <c r="D40" s="12"/>
      <c r="E40" s="414"/>
      <c r="F40" s="158"/>
      <c r="G40" s="414"/>
      <c r="H40" s="15"/>
      <c r="I40" s="433"/>
      <c r="J40" s="15"/>
      <c r="K40" s="12"/>
      <c r="L40" s="12"/>
      <c r="M40" s="414"/>
      <c r="N40" s="12"/>
      <c r="O40" s="414"/>
      <c r="P40" s="12"/>
      <c r="Q40" s="414"/>
      <c r="R40" s="12"/>
      <c r="S40" s="414"/>
      <c r="T40" s="12"/>
      <c r="U40" s="414"/>
      <c r="V40" s="12"/>
      <c r="W40" s="414"/>
      <c r="X40" s="11"/>
      <c r="Y40" s="364"/>
      <c r="Z40" s="11"/>
      <c r="AA40" s="364"/>
      <c r="AB40" s="11"/>
      <c r="AC40" s="364"/>
      <c r="AD40" s="11"/>
      <c r="AE40" s="364"/>
      <c r="AF40" s="11">
        <v>7</v>
      </c>
      <c r="AG40" s="364">
        <f>72.1+1635.3+417</f>
        <v>2124.3999999999996</v>
      </c>
      <c r="AH40" s="11">
        <v>4</v>
      </c>
      <c r="AI40" s="364">
        <v>627.2</v>
      </c>
      <c r="AJ40" s="11"/>
      <c r="AK40" s="364"/>
      <c r="AL40" s="11"/>
      <c r="AM40" s="364"/>
      <c r="AN40" s="94">
        <f t="shared" si="4"/>
        <v>11</v>
      </c>
      <c r="AO40" s="1053">
        <f t="shared" si="5"/>
        <v>2874.2999999999993</v>
      </c>
      <c r="AP40" s="184"/>
      <c r="AQ40" s="184"/>
      <c r="AR40" s="435"/>
      <c r="AS40" s="436"/>
      <c r="AT40" s="437"/>
    </row>
    <row r="41" spans="1:46" s="96" customFormat="1" ht="24.75" customHeight="1">
      <c r="A41" s="1104" t="s">
        <v>445</v>
      </c>
      <c r="B41" s="1097"/>
      <c r="C41" s="364"/>
      <c r="D41" s="11"/>
      <c r="E41" s="364"/>
      <c r="F41" s="11"/>
      <c r="G41" s="364"/>
      <c r="H41" s="11"/>
      <c r="I41" s="364"/>
      <c r="J41" s="11"/>
      <c r="K41" s="11"/>
      <c r="L41" s="11"/>
      <c r="M41" s="364"/>
      <c r="N41" s="11"/>
      <c r="O41" s="364"/>
      <c r="P41" s="11"/>
      <c r="Q41" s="364"/>
      <c r="R41" s="11"/>
      <c r="S41" s="364"/>
      <c r="T41" s="11"/>
      <c r="U41" s="364"/>
      <c r="V41" s="11"/>
      <c r="W41" s="364"/>
      <c r="X41" s="11"/>
      <c r="Y41" s="364"/>
      <c r="Z41" s="11"/>
      <c r="AA41" s="364"/>
      <c r="AB41" s="11"/>
      <c r="AC41" s="364"/>
      <c r="AD41" s="11"/>
      <c r="AE41" s="364"/>
      <c r="AF41" s="11"/>
      <c r="AG41" s="364"/>
      <c r="AH41" s="11">
        <v>2</v>
      </c>
      <c r="AI41" s="364">
        <v>290.4</v>
      </c>
      <c r="AJ41" s="11"/>
      <c r="AK41" s="364"/>
      <c r="AL41" s="11"/>
      <c r="AM41" s="364"/>
      <c r="AN41" s="94">
        <f t="shared" si="4"/>
        <v>2</v>
      </c>
      <c r="AO41" s="1053">
        <f t="shared" si="5"/>
        <v>290.4</v>
      </c>
      <c r="AP41" s="184"/>
      <c r="AQ41" s="184"/>
      <c r="AR41" s="435"/>
      <c r="AS41" s="436"/>
      <c r="AT41" s="437"/>
    </row>
    <row r="42" spans="1:46" s="96" customFormat="1" ht="24.75" customHeight="1">
      <c r="A42" s="1104" t="s">
        <v>216</v>
      </c>
      <c r="B42" s="1097"/>
      <c r="C42" s="414"/>
      <c r="D42" s="12"/>
      <c r="E42" s="414"/>
      <c r="F42" s="158"/>
      <c r="G42" s="414"/>
      <c r="H42" s="15"/>
      <c r="I42" s="433"/>
      <c r="J42" s="15"/>
      <c r="K42" s="12"/>
      <c r="L42" s="12"/>
      <c r="M42" s="414"/>
      <c r="N42" s="12"/>
      <c r="O42" s="414"/>
      <c r="P42" s="12"/>
      <c r="Q42" s="414"/>
      <c r="R42" s="12"/>
      <c r="S42" s="414"/>
      <c r="T42" s="12"/>
      <c r="U42" s="414"/>
      <c r="V42" s="12"/>
      <c r="W42" s="414"/>
      <c r="X42" s="11"/>
      <c r="Y42" s="364"/>
      <c r="Z42" s="11"/>
      <c r="AA42" s="364"/>
      <c r="AB42" s="11"/>
      <c r="AC42" s="364"/>
      <c r="AD42" s="11"/>
      <c r="AE42" s="364"/>
      <c r="AF42" s="11">
        <v>3</v>
      </c>
      <c r="AG42" s="364">
        <v>15.5</v>
      </c>
      <c r="AH42" s="11">
        <v>2</v>
      </c>
      <c r="AI42" s="364">
        <v>283.2</v>
      </c>
      <c r="AJ42" s="11"/>
      <c r="AK42" s="364"/>
      <c r="AL42" s="11"/>
      <c r="AM42" s="364"/>
      <c r="AN42" s="94">
        <f>SUM(B42,D42,F42,H42,J42,L42,N42,P42,R42,T42,V42,X42,Z42,AB42,AD42,AF42,AH42,AJ42,AL42)</f>
        <v>5</v>
      </c>
      <c r="AO42" s="1053">
        <f>SUM(C42,E42,G42,I42,K42,M42,O42,Q42,S42,U42,W42,Y42,AA42,AC42,AE42,AG42,AI42,AK42,AM42)</f>
        <v>298.7</v>
      </c>
      <c r="AP42" s="184"/>
      <c r="AQ42" s="184"/>
      <c r="AR42" s="435"/>
      <c r="AS42" s="436"/>
      <c r="AT42" s="437"/>
    </row>
    <row r="43" spans="1:46" s="96" customFormat="1" ht="24.75" customHeight="1">
      <c r="A43" s="1104" t="s">
        <v>217</v>
      </c>
      <c r="B43" s="1097"/>
      <c r="C43" s="414"/>
      <c r="D43" s="12"/>
      <c r="E43" s="414"/>
      <c r="F43" s="158"/>
      <c r="G43" s="414"/>
      <c r="H43" s="15"/>
      <c r="I43" s="433"/>
      <c r="J43" s="15"/>
      <c r="K43" s="12"/>
      <c r="L43" s="12"/>
      <c r="M43" s="414"/>
      <c r="N43" s="12"/>
      <c r="O43" s="414"/>
      <c r="P43" s="12"/>
      <c r="Q43" s="414"/>
      <c r="R43" s="12"/>
      <c r="S43" s="414"/>
      <c r="T43" s="12"/>
      <c r="U43" s="414"/>
      <c r="V43" s="12"/>
      <c r="W43" s="414"/>
      <c r="X43" s="11"/>
      <c r="Y43" s="364"/>
      <c r="Z43" s="11">
        <v>3</v>
      </c>
      <c r="AA43" s="364">
        <v>475.6</v>
      </c>
      <c r="AB43" s="11"/>
      <c r="AC43" s="364"/>
      <c r="AD43" s="11"/>
      <c r="AE43" s="364"/>
      <c r="AF43" s="11"/>
      <c r="AG43" s="364"/>
      <c r="AH43" s="11"/>
      <c r="AI43" s="364"/>
      <c r="AJ43" s="11"/>
      <c r="AK43" s="364"/>
      <c r="AL43" s="11"/>
      <c r="AM43" s="364"/>
      <c r="AN43" s="94">
        <f t="shared" si="4"/>
        <v>3</v>
      </c>
      <c r="AO43" s="1053">
        <f t="shared" si="5"/>
        <v>475.6</v>
      </c>
      <c r="AP43" s="184"/>
      <c r="AQ43" s="184"/>
      <c r="AR43" s="435"/>
      <c r="AS43" s="436"/>
      <c r="AT43" s="437"/>
    </row>
    <row r="44" spans="1:46" s="269" customFormat="1" ht="24.75" customHeight="1">
      <c r="A44" s="1105" t="s">
        <v>447</v>
      </c>
      <c r="B44" s="1097"/>
      <c r="C44" s="414"/>
      <c r="D44" s="12"/>
      <c r="E44" s="414"/>
      <c r="F44" s="158"/>
      <c r="G44" s="414"/>
      <c r="H44" s="15"/>
      <c r="I44" s="433"/>
      <c r="J44" s="15"/>
      <c r="K44" s="12"/>
      <c r="L44" s="12"/>
      <c r="M44" s="414"/>
      <c r="N44" s="12"/>
      <c r="O44" s="414"/>
      <c r="P44" s="12"/>
      <c r="Q44" s="414"/>
      <c r="R44" s="12"/>
      <c r="S44" s="414"/>
      <c r="T44" s="12"/>
      <c r="U44" s="414"/>
      <c r="V44" s="12"/>
      <c r="W44" s="414"/>
      <c r="X44" s="11"/>
      <c r="Y44" s="364"/>
      <c r="Z44" s="11">
        <v>2</v>
      </c>
      <c r="AA44" s="364">
        <v>324.8</v>
      </c>
      <c r="AB44" s="11"/>
      <c r="AC44" s="364"/>
      <c r="AD44" s="11"/>
      <c r="AE44" s="364"/>
      <c r="AF44" s="11"/>
      <c r="AG44" s="364"/>
      <c r="AH44" s="11"/>
      <c r="AI44" s="364"/>
      <c r="AJ44" s="11"/>
      <c r="AK44" s="364"/>
      <c r="AL44" s="11"/>
      <c r="AM44" s="364"/>
      <c r="AN44" s="94">
        <f t="shared" si="4"/>
        <v>2</v>
      </c>
      <c r="AO44" s="1053">
        <f t="shared" si="5"/>
        <v>324.8</v>
      </c>
      <c r="AP44" s="256"/>
      <c r="AQ44" s="256"/>
      <c r="AR44" s="286"/>
      <c r="AS44" s="283"/>
      <c r="AT44" s="279"/>
    </row>
    <row r="45" spans="1:46" s="351" customFormat="1" ht="23.25" customHeight="1">
      <c r="A45" s="1100" t="s">
        <v>519</v>
      </c>
      <c r="B45" s="1106"/>
      <c r="C45" s="431"/>
      <c r="D45" s="172"/>
      <c r="E45" s="431"/>
      <c r="F45" s="172"/>
      <c r="G45" s="431"/>
      <c r="H45" s="172"/>
      <c r="I45" s="431"/>
      <c r="J45" s="172"/>
      <c r="K45" s="172"/>
      <c r="L45" s="172"/>
      <c r="M45" s="431"/>
      <c r="N45" s="172"/>
      <c r="O45" s="431"/>
      <c r="P45" s="172"/>
      <c r="Q45" s="431"/>
      <c r="R45" s="172"/>
      <c r="S45" s="431"/>
      <c r="T45" s="172"/>
      <c r="U45" s="431"/>
      <c r="V45" s="172"/>
      <c r="W45" s="431"/>
      <c r="X45" s="172"/>
      <c r="Y45" s="431"/>
      <c r="Z45" s="172"/>
      <c r="AA45" s="431"/>
      <c r="AB45" s="172"/>
      <c r="AC45" s="431"/>
      <c r="AD45" s="172"/>
      <c r="AE45" s="431"/>
      <c r="AF45" s="172"/>
      <c r="AG45" s="431"/>
      <c r="AH45" s="172"/>
      <c r="AI45" s="431"/>
      <c r="AJ45" s="172"/>
      <c r="AK45" s="431"/>
      <c r="AL45" s="172"/>
      <c r="AM45" s="431"/>
      <c r="AN45" s="92"/>
      <c r="AO45" s="1055"/>
      <c r="AP45" s="184"/>
      <c r="AQ45" s="184"/>
      <c r="AR45" s="752"/>
      <c r="AS45" s="436"/>
      <c r="AT45" s="755"/>
    </row>
    <row r="46" spans="1:46" s="96" customFormat="1" ht="24.75" customHeight="1">
      <c r="A46" s="1104" t="s">
        <v>432</v>
      </c>
      <c r="B46" s="1097"/>
      <c r="C46" s="414"/>
      <c r="D46" s="12"/>
      <c r="E46" s="414"/>
      <c r="F46" s="158"/>
      <c r="G46" s="414"/>
      <c r="H46" s="15"/>
      <c r="I46" s="433"/>
      <c r="J46" s="15"/>
      <c r="K46" s="12"/>
      <c r="L46" s="12"/>
      <c r="M46" s="414"/>
      <c r="N46" s="12"/>
      <c r="O46" s="414"/>
      <c r="P46" s="12"/>
      <c r="Q46" s="414"/>
      <c r="R46" s="12"/>
      <c r="S46" s="414"/>
      <c r="T46" s="12"/>
      <c r="U46" s="414"/>
      <c r="V46" s="12"/>
      <c r="W46" s="414"/>
      <c r="X46" s="11"/>
      <c r="Y46" s="364"/>
      <c r="Z46" s="11"/>
      <c r="AA46" s="364"/>
      <c r="AB46" s="11"/>
      <c r="AC46" s="364"/>
      <c r="AD46" s="11"/>
      <c r="AE46" s="364"/>
      <c r="AF46" s="11"/>
      <c r="AG46" s="364"/>
      <c r="AH46" s="11">
        <v>2</v>
      </c>
      <c r="AI46" s="364">
        <v>218.4</v>
      </c>
      <c r="AJ46" s="11"/>
      <c r="AK46" s="364"/>
      <c r="AL46" s="11"/>
      <c r="AM46" s="364"/>
      <c r="AN46" s="94">
        <f aca="true" t="shared" si="6" ref="AN46:AO49">SUM(B46,D46,F46,H46,J46,L46,N46,P46,R46,T46,V46,X46,Z46,AB46,AD46,AF46,AH46,AJ46,AL46)</f>
        <v>2</v>
      </c>
      <c r="AO46" s="1053">
        <f t="shared" si="6"/>
        <v>218.4</v>
      </c>
      <c r="AP46" s="184"/>
      <c r="AQ46" s="184"/>
      <c r="AR46" s="435"/>
      <c r="AS46" s="436"/>
      <c r="AT46" s="437"/>
    </row>
    <row r="47" spans="1:46" s="96" customFormat="1" ht="24.75" customHeight="1">
      <c r="A47" s="1104" t="s">
        <v>437</v>
      </c>
      <c r="B47" s="1097"/>
      <c r="C47" s="414"/>
      <c r="D47" s="12"/>
      <c r="E47" s="414"/>
      <c r="F47" s="158"/>
      <c r="G47" s="414"/>
      <c r="H47" s="15"/>
      <c r="I47" s="433"/>
      <c r="J47" s="15"/>
      <c r="K47" s="12"/>
      <c r="L47" s="12"/>
      <c r="M47" s="414"/>
      <c r="N47" s="12"/>
      <c r="O47" s="414"/>
      <c r="P47" s="12"/>
      <c r="Q47" s="414"/>
      <c r="R47" s="12"/>
      <c r="S47" s="414"/>
      <c r="T47" s="12"/>
      <c r="U47" s="414"/>
      <c r="V47" s="12"/>
      <c r="W47" s="414"/>
      <c r="X47" s="11"/>
      <c r="Y47" s="364"/>
      <c r="Z47" s="11">
        <v>1</v>
      </c>
      <c r="AA47" s="364">
        <v>65.8</v>
      </c>
      <c r="AB47" s="11"/>
      <c r="AC47" s="364"/>
      <c r="AD47" s="11"/>
      <c r="AE47" s="364"/>
      <c r="AF47" s="11"/>
      <c r="AG47" s="364"/>
      <c r="AH47" s="11"/>
      <c r="AI47" s="364"/>
      <c r="AJ47" s="11"/>
      <c r="AK47" s="364"/>
      <c r="AL47" s="11"/>
      <c r="AM47" s="364"/>
      <c r="AN47" s="94">
        <f t="shared" si="6"/>
        <v>1</v>
      </c>
      <c r="AO47" s="1053">
        <f t="shared" si="6"/>
        <v>65.8</v>
      </c>
      <c r="AP47" s="184"/>
      <c r="AQ47" s="184"/>
      <c r="AR47" s="435"/>
      <c r="AS47" s="436"/>
      <c r="AT47" s="437"/>
    </row>
    <row r="48" spans="1:46" s="96" customFormat="1" ht="24.75" customHeight="1">
      <c r="A48" s="1104" t="s">
        <v>443</v>
      </c>
      <c r="B48" s="1097"/>
      <c r="C48" s="414"/>
      <c r="D48" s="12"/>
      <c r="E48" s="414"/>
      <c r="F48" s="158"/>
      <c r="G48" s="414"/>
      <c r="H48" s="15"/>
      <c r="I48" s="433"/>
      <c r="J48" s="15"/>
      <c r="K48" s="12"/>
      <c r="L48" s="12"/>
      <c r="M48" s="414"/>
      <c r="N48" s="12"/>
      <c r="O48" s="414"/>
      <c r="P48" s="12"/>
      <c r="Q48" s="414"/>
      <c r="R48" s="12"/>
      <c r="S48" s="414"/>
      <c r="T48" s="12"/>
      <c r="U48" s="414"/>
      <c r="V48" s="12"/>
      <c r="W48" s="414"/>
      <c r="X48" s="11"/>
      <c r="Y48" s="364"/>
      <c r="Z48" s="11">
        <v>1</v>
      </c>
      <c r="AA48" s="364">
        <v>131.9</v>
      </c>
      <c r="AB48" s="11"/>
      <c r="AC48" s="364"/>
      <c r="AD48" s="11"/>
      <c r="AE48" s="364"/>
      <c r="AF48" s="11"/>
      <c r="AG48" s="364"/>
      <c r="AH48" s="11"/>
      <c r="AI48" s="364"/>
      <c r="AJ48" s="11"/>
      <c r="AK48" s="364"/>
      <c r="AL48" s="11"/>
      <c r="AM48" s="364"/>
      <c r="AN48" s="94">
        <f t="shared" si="6"/>
        <v>1</v>
      </c>
      <c r="AO48" s="1053">
        <f t="shared" si="6"/>
        <v>131.9</v>
      </c>
      <c r="AP48" s="184"/>
      <c r="AQ48" s="184"/>
      <c r="AR48" s="435"/>
      <c r="AS48" s="436"/>
      <c r="AT48" s="437"/>
    </row>
    <row r="49" spans="1:46" s="269" customFormat="1" ht="24.75" customHeight="1">
      <c r="A49" s="1105" t="s">
        <v>218</v>
      </c>
      <c r="B49" s="1099"/>
      <c r="C49" s="811"/>
      <c r="D49" s="797"/>
      <c r="E49" s="811"/>
      <c r="F49" s="241"/>
      <c r="G49" s="811"/>
      <c r="H49" s="18"/>
      <c r="I49" s="812"/>
      <c r="J49" s="18"/>
      <c r="K49" s="797"/>
      <c r="L49" s="797"/>
      <c r="M49" s="811"/>
      <c r="N49" s="797"/>
      <c r="O49" s="811"/>
      <c r="P49" s="797"/>
      <c r="Q49" s="811"/>
      <c r="R49" s="797"/>
      <c r="S49" s="811"/>
      <c r="T49" s="797"/>
      <c r="U49" s="811"/>
      <c r="V49" s="797"/>
      <c r="W49" s="811"/>
      <c r="X49" s="17"/>
      <c r="Y49" s="413"/>
      <c r="Z49" s="17">
        <v>1</v>
      </c>
      <c r="AA49" s="413">
        <v>122.6</v>
      </c>
      <c r="AB49" s="17"/>
      <c r="AC49" s="413"/>
      <c r="AD49" s="17"/>
      <c r="AE49" s="413"/>
      <c r="AF49" s="17"/>
      <c r="AG49" s="413"/>
      <c r="AH49" s="17"/>
      <c r="AI49" s="413"/>
      <c r="AJ49" s="17"/>
      <c r="AK49" s="413"/>
      <c r="AL49" s="17"/>
      <c r="AM49" s="413"/>
      <c r="AN49" s="165">
        <f t="shared" si="6"/>
        <v>1</v>
      </c>
      <c r="AO49" s="1054">
        <f t="shared" si="6"/>
        <v>122.6</v>
      </c>
      <c r="AP49" s="256"/>
      <c r="AQ49" s="256"/>
      <c r="AR49" s="286"/>
      <c r="AS49" s="283"/>
      <c r="AT49" s="279"/>
    </row>
    <row r="50" spans="1:46" s="263" customFormat="1" ht="23.25" customHeight="1">
      <c r="A50" s="1100" t="s">
        <v>523</v>
      </c>
      <c r="B50" s="1106"/>
      <c r="C50" s="431"/>
      <c r="D50" s="172"/>
      <c r="E50" s="431"/>
      <c r="F50" s="172"/>
      <c r="G50" s="431"/>
      <c r="H50" s="172"/>
      <c r="I50" s="431"/>
      <c r="J50" s="172"/>
      <c r="K50" s="172"/>
      <c r="L50" s="172"/>
      <c r="M50" s="431"/>
      <c r="N50" s="172"/>
      <c r="O50" s="431"/>
      <c r="P50" s="172"/>
      <c r="Q50" s="431"/>
      <c r="R50" s="172"/>
      <c r="S50" s="431"/>
      <c r="T50" s="172"/>
      <c r="U50" s="431"/>
      <c r="V50" s="172"/>
      <c r="W50" s="431"/>
      <c r="X50" s="172"/>
      <c r="Y50" s="431"/>
      <c r="Z50" s="172"/>
      <c r="AA50" s="431"/>
      <c r="AB50" s="172"/>
      <c r="AC50" s="431"/>
      <c r="AD50" s="172"/>
      <c r="AE50" s="431"/>
      <c r="AF50" s="172"/>
      <c r="AG50" s="431"/>
      <c r="AH50" s="172"/>
      <c r="AI50" s="431"/>
      <c r="AJ50" s="172"/>
      <c r="AK50" s="431"/>
      <c r="AL50" s="172"/>
      <c r="AM50" s="431"/>
      <c r="AN50" s="92"/>
      <c r="AO50" s="1055"/>
      <c r="AP50" s="256"/>
      <c r="AQ50" s="256"/>
      <c r="AR50" s="282"/>
      <c r="AS50" s="283"/>
      <c r="AT50" s="284"/>
    </row>
    <row r="51" spans="1:46" s="269" customFormat="1" ht="24.75" customHeight="1">
      <c r="A51" s="1105" t="s">
        <v>444</v>
      </c>
      <c r="B51" s="1099"/>
      <c r="C51" s="811"/>
      <c r="D51" s="797"/>
      <c r="E51" s="811"/>
      <c r="F51" s="241"/>
      <c r="G51" s="811"/>
      <c r="H51" s="18"/>
      <c r="I51" s="812"/>
      <c r="J51" s="18"/>
      <c r="K51" s="797"/>
      <c r="L51" s="797"/>
      <c r="M51" s="811"/>
      <c r="N51" s="797"/>
      <c r="O51" s="811"/>
      <c r="P51" s="797"/>
      <c r="Q51" s="811"/>
      <c r="R51" s="797"/>
      <c r="S51" s="811"/>
      <c r="T51" s="797"/>
      <c r="U51" s="811"/>
      <c r="V51" s="797"/>
      <c r="W51" s="811"/>
      <c r="X51" s="17"/>
      <c r="Y51" s="413"/>
      <c r="Z51" s="17"/>
      <c r="AA51" s="413"/>
      <c r="AB51" s="17"/>
      <c r="AC51" s="413"/>
      <c r="AD51" s="17"/>
      <c r="AE51" s="413"/>
      <c r="AF51" s="17"/>
      <c r="AG51" s="413"/>
      <c r="AH51" s="17"/>
      <c r="AI51" s="413"/>
      <c r="AJ51" s="17">
        <v>1</v>
      </c>
      <c r="AK51" s="413">
        <v>346.5</v>
      </c>
      <c r="AL51" s="17"/>
      <c r="AM51" s="413"/>
      <c r="AN51" s="165">
        <f>SUM(B51,D51,F51,H51,J51,L51,N51,P51,R51,T51,V51,X51,Z51,AB51,AD51,AF51,AH51,AJ51,AL51)</f>
        <v>1</v>
      </c>
      <c r="AO51" s="1054">
        <f>SUM(C51,E51,G51,I51,K51,M51,O51,Q51,S51,U51,W51,Y51,AA51,AC51,AE51,AG51,AI51,AK51,AM51)</f>
        <v>346.5</v>
      </c>
      <c r="AP51" s="256"/>
      <c r="AQ51" s="256"/>
      <c r="AR51" s="286"/>
      <c r="AS51" s="283"/>
      <c r="AT51" s="279"/>
    </row>
    <row r="52" spans="1:46" s="351" customFormat="1" ht="23.25" customHeight="1">
      <c r="A52" s="1100" t="s">
        <v>524</v>
      </c>
      <c r="B52" s="1106"/>
      <c r="C52" s="431"/>
      <c r="D52" s="172"/>
      <c r="E52" s="431"/>
      <c r="F52" s="172"/>
      <c r="G52" s="431"/>
      <c r="H52" s="172"/>
      <c r="I52" s="431"/>
      <c r="J52" s="172"/>
      <c r="K52" s="172"/>
      <c r="L52" s="172"/>
      <c r="M52" s="431"/>
      <c r="N52" s="172"/>
      <c r="O52" s="431"/>
      <c r="P52" s="172"/>
      <c r="Q52" s="431"/>
      <c r="R52" s="172"/>
      <c r="S52" s="431"/>
      <c r="T52" s="172"/>
      <c r="U52" s="431"/>
      <c r="V52" s="172"/>
      <c r="W52" s="431"/>
      <c r="X52" s="172"/>
      <c r="Y52" s="431"/>
      <c r="Z52" s="172"/>
      <c r="AA52" s="431"/>
      <c r="AB52" s="172"/>
      <c r="AC52" s="431"/>
      <c r="AD52" s="172"/>
      <c r="AE52" s="431"/>
      <c r="AF52" s="172"/>
      <c r="AG52" s="431"/>
      <c r="AH52" s="172"/>
      <c r="AI52" s="431"/>
      <c r="AJ52" s="172"/>
      <c r="AK52" s="431"/>
      <c r="AL52" s="172"/>
      <c r="AM52" s="431"/>
      <c r="AN52" s="92"/>
      <c r="AO52" s="1055"/>
      <c r="AP52" s="184"/>
      <c r="AQ52" s="184"/>
      <c r="AR52" s="752"/>
      <c r="AS52" s="436"/>
      <c r="AT52" s="755"/>
    </row>
    <row r="53" spans="1:45" s="351" customFormat="1" ht="23.25" customHeight="1">
      <c r="A53" s="1104" t="s">
        <v>204</v>
      </c>
      <c r="B53" s="1097"/>
      <c r="C53" s="414"/>
      <c r="D53" s="12"/>
      <c r="E53" s="414"/>
      <c r="F53" s="158"/>
      <c r="G53" s="414"/>
      <c r="H53" s="15"/>
      <c r="I53" s="433"/>
      <c r="J53" s="15"/>
      <c r="K53" s="12"/>
      <c r="L53" s="12"/>
      <c r="M53" s="414"/>
      <c r="N53" s="12"/>
      <c r="O53" s="414"/>
      <c r="P53" s="12"/>
      <c r="Q53" s="414"/>
      <c r="R53" s="12"/>
      <c r="S53" s="414"/>
      <c r="T53" s="12"/>
      <c r="U53" s="414"/>
      <c r="V53" s="12"/>
      <c r="W53" s="414"/>
      <c r="X53" s="11"/>
      <c r="Y53" s="364"/>
      <c r="Z53" s="11">
        <v>3</v>
      </c>
      <c r="AA53" s="364">
        <v>402.5</v>
      </c>
      <c r="AB53" s="11"/>
      <c r="AC53" s="364"/>
      <c r="AD53" s="11"/>
      <c r="AE53" s="364"/>
      <c r="AF53" s="11"/>
      <c r="AG53" s="364"/>
      <c r="AH53" s="11">
        <v>1</v>
      </c>
      <c r="AI53" s="364">
        <v>177.8</v>
      </c>
      <c r="AJ53" s="11"/>
      <c r="AK53" s="364"/>
      <c r="AL53" s="11"/>
      <c r="AM53" s="364"/>
      <c r="AN53" s="94">
        <f aca="true" t="shared" si="7" ref="AN53:AN62">SUM(B53,D53,F53,H53,J53,L53,N53,P53,R53,T53,V53,X53,Z53,AB53,AD53,AF53,AH53,AJ53,AL53)</f>
        <v>4</v>
      </c>
      <c r="AO53" s="1053">
        <f aca="true" t="shared" si="8" ref="AO53:AO62">SUM(C53,E53,G53,I53,K53,M53,O53,Q53,S53,U53,W53,Y53,AA53,AC53,AE53,AG53,AI53,AK53,AM53)</f>
        <v>580.3</v>
      </c>
      <c r="AP53" s="184"/>
      <c r="AQ53" s="184"/>
      <c r="AR53" s="752"/>
      <c r="AS53" s="753"/>
    </row>
    <row r="54" spans="1:45" s="351" customFormat="1" ht="23.25" customHeight="1">
      <c r="A54" s="1104" t="s">
        <v>205</v>
      </c>
      <c r="B54" s="1097">
        <v>5</v>
      </c>
      <c r="C54" s="414">
        <v>655.9</v>
      </c>
      <c r="D54" s="12"/>
      <c r="E54" s="414"/>
      <c r="F54" s="158"/>
      <c r="G54" s="414"/>
      <c r="H54" s="15"/>
      <c r="I54" s="433"/>
      <c r="J54" s="15"/>
      <c r="K54" s="12"/>
      <c r="L54" s="12"/>
      <c r="M54" s="414">
        <v>422.5</v>
      </c>
      <c r="N54" s="12"/>
      <c r="O54" s="414"/>
      <c r="P54" s="12"/>
      <c r="Q54" s="414"/>
      <c r="R54" s="12"/>
      <c r="S54" s="414"/>
      <c r="T54" s="12"/>
      <c r="U54" s="414"/>
      <c r="V54" s="12"/>
      <c r="W54" s="414"/>
      <c r="X54" s="11"/>
      <c r="Y54" s="364"/>
      <c r="Z54" s="11"/>
      <c r="AA54" s="364"/>
      <c r="AB54" s="11"/>
      <c r="AC54" s="364"/>
      <c r="AD54" s="11"/>
      <c r="AE54" s="364"/>
      <c r="AF54" s="11"/>
      <c r="AG54" s="364"/>
      <c r="AH54" s="11">
        <v>2</v>
      </c>
      <c r="AI54" s="364">
        <v>459.3</v>
      </c>
      <c r="AJ54" s="11"/>
      <c r="AK54" s="364"/>
      <c r="AL54" s="11"/>
      <c r="AM54" s="364"/>
      <c r="AN54" s="94">
        <f t="shared" si="7"/>
        <v>7</v>
      </c>
      <c r="AO54" s="1053">
        <f t="shared" si="8"/>
        <v>1537.7</v>
      </c>
      <c r="AP54" s="184"/>
      <c r="AQ54" s="184"/>
      <c r="AR54" s="752"/>
      <c r="AS54" s="753"/>
    </row>
    <row r="55" spans="1:45" s="351" customFormat="1" ht="23.25" customHeight="1">
      <c r="A55" s="1104" t="s">
        <v>206</v>
      </c>
      <c r="B55" s="1097"/>
      <c r="C55" s="414"/>
      <c r="D55" s="12"/>
      <c r="E55" s="414"/>
      <c r="F55" s="158"/>
      <c r="G55" s="414"/>
      <c r="H55" s="15"/>
      <c r="I55" s="433"/>
      <c r="J55" s="15"/>
      <c r="K55" s="12"/>
      <c r="L55" s="12"/>
      <c r="M55" s="414"/>
      <c r="N55" s="12"/>
      <c r="O55" s="414"/>
      <c r="P55" s="12"/>
      <c r="Q55" s="414"/>
      <c r="R55" s="12"/>
      <c r="S55" s="414"/>
      <c r="T55" s="12"/>
      <c r="U55" s="414"/>
      <c r="V55" s="12"/>
      <c r="W55" s="414"/>
      <c r="X55" s="11"/>
      <c r="Y55" s="364"/>
      <c r="Z55" s="11"/>
      <c r="AA55" s="364"/>
      <c r="AB55" s="11"/>
      <c r="AC55" s="364"/>
      <c r="AD55" s="11"/>
      <c r="AE55" s="364"/>
      <c r="AF55" s="11"/>
      <c r="AG55" s="364"/>
      <c r="AH55" s="11">
        <v>2</v>
      </c>
      <c r="AI55" s="364">
        <v>461.8</v>
      </c>
      <c r="AJ55" s="11"/>
      <c r="AK55" s="364"/>
      <c r="AL55" s="11"/>
      <c r="AM55" s="364"/>
      <c r="AN55" s="94">
        <f t="shared" si="7"/>
        <v>2</v>
      </c>
      <c r="AO55" s="1053">
        <f t="shared" si="8"/>
        <v>461.8</v>
      </c>
      <c r="AP55" s="184"/>
      <c r="AQ55" s="184"/>
      <c r="AR55" s="752"/>
      <c r="AS55" s="753"/>
    </row>
    <row r="56" spans="1:45" s="351" customFormat="1" ht="23.25" customHeight="1">
      <c r="A56" s="1104" t="s">
        <v>430</v>
      </c>
      <c r="B56" s="1097"/>
      <c r="C56" s="414"/>
      <c r="D56" s="12"/>
      <c r="E56" s="414"/>
      <c r="F56" s="158"/>
      <c r="G56" s="414"/>
      <c r="H56" s="15"/>
      <c r="I56" s="433"/>
      <c r="J56" s="15"/>
      <c r="K56" s="12"/>
      <c r="L56" s="12"/>
      <c r="M56" s="414"/>
      <c r="N56" s="12"/>
      <c r="O56" s="414"/>
      <c r="P56" s="12"/>
      <c r="Q56" s="414"/>
      <c r="R56" s="12"/>
      <c r="S56" s="414"/>
      <c r="T56" s="12"/>
      <c r="U56" s="414"/>
      <c r="V56" s="12"/>
      <c r="W56" s="414"/>
      <c r="X56" s="11"/>
      <c r="Y56" s="364"/>
      <c r="Z56" s="11"/>
      <c r="AA56" s="364"/>
      <c r="AB56" s="11"/>
      <c r="AC56" s="364"/>
      <c r="AD56" s="11"/>
      <c r="AE56" s="364"/>
      <c r="AF56" s="11"/>
      <c r="AG56" s="364"/>
      <c r="AH56" s="11">
        <v>1</v>
      </c>
      <c r="AI56" s="364">
        <v>265.4</v>
      </c>
      <c r="AJ56" s="11"/>
      <c r="AK56" s="364"/>
      <c r="AL56" s="11"/>
      <c r="AM56" s="364"/>
      <c r="AN56" s="94">
        <f>SUM(B56,D56,F56,H56,J56,L56,N56,P56,R56,T56,V56,X56,Z56,AB56,AD56,AF56,AH56,AJ56,AL56)</f>
        <v>1</v>
      </c>
      <c r="AO56" s="1053">
        <f>SUM(C56,E56,G56,I56,K56,M56,O56,Q56,S56,U56,W56,Y56,AA56,AC56,AE56,AG56,AI56,AK56,AM56)</f>
        <v>265.4</v>
      </c>
      <c r="AP56" s="184"/>
      <c r="AQ56" s="184"/>
      <c r="AR56" s="752"/>
      <c r="AS56" s="753"/>
    </row>
    <row r="57" spans="1:45" s="351" customFormat="1" ht="23.25" customHeight="1">
      <c r="A57" s="1104" t="s">
        <v>207</v>
      </c>
      <c r="B57" s="1097"/>
      <c r="C57" s="414"/>
      <c r="D57" s="12"/>
      <c r="E57" s="414"/>
      <c r="F57" s="158"/>
      <c r="G57" s="414"/>
      <c r="H57" s="15"/>
      <c r="I57" s="433"/>
      <c r="J57" s="15"/>
      <c r="K57" s="12"/>
      <c r="L57" s="12"/>
      <c r="M57" s="414"/>
      <c r="N57" s="12"/>
      <c r="O57" s="414"/>
      <c r="P57" s="12"/>
      <c r="Q57" s="414"/>
      <c r="R57" s="12"/>
      <c r="S57" s="414"/>
      <c r="T57" s="12"/>
      <c r="U57" s="414"/>
      <c r="V57" s="12"/>
      <c r="W57" s="414"/>
      <c r="X57" s="11"/>
      <c r="Y57" s="364"/>
      <c r="Z57" s="11"/>
      <c r="AA57" s="364"/>
      <c r="AB57" s="11"/>
      <c r="AC57" s="364"/>
      <c r="AD57" s="11"/>
      <c r="AE57" s="364"/>
      <c r="AF57" s="11"/>
      <c r="AG57" s="364"/>
      <c r="AH57" s="11">
        <v>1</v>
      </c>
      <c r="AI57" s="364">
        <v>242.3</v>
      </c>
      <c r="AJ57" s="11"/>
      <c r="AK57" s="364"/>
      <c r="AL57" s="11"/>
      <c r="AM57" s="364"/>
      <c r="AN57" s="94">
        <f t="shared" si="7"/>
        <v>1</v>
      </c>
      <c r="AO57" s="1053">
        <f t="shared" si="8"/>
        <v>242.3</v>
      </c>
      <c r="AP57" s="184"/>
      <c r="AQ57" s="184"/>
      <c r="AR57" s="752"/>
      <c r="AS57" s="753"/>
    </row>
    <row r="58" spans="1:45" s="351" customFormat="1" ht="23.25" customHeight="1">
      <c r="A58" s="1104" t="s">
        <v>212</v>
      </c>
      <c r="B58" s="1097"/>
      <c r="C58" s="414"/>
      <c r="D58" s="12"/>
      <c r="E58" s="414"/>
      <c r="F58" s="158"/>
      <c r="G58" s="414"/>
      <c r="H58" s="15"/>
      <c r="I58" s="433"/>
      <c r="J58" s="15"/>
      <c r="K58" s="12"/>
      <c r="L58" s="12"/>
      <c r="M58" s="414"/>
      <c r="N58" s="12"/>
      <c r="O58" s="414"/>
      <c r="P58" s="12"/>
      <c r="Q58" s="414"/>
      <c r="R58" s="12"/>
      <c r="S58" s="414"/>
      <c r="T58" s="12"/>
      <c r="U58" s="414"/>
      <c r="V58" s="12"/>
      <c r="W58" s="414"/>
      <c r="X58" s="11"/>
      <c r="Y58" s="364"/>
      <c r="Z58" s="11"/>
      <c r="AA58" s="364"/>
      <c r="AB58" s="11"/>
      <c r="AC58" s="364"/>
      <c r="AD58" s="11"/>
      <c r="AE58" s="364"/>
      <c r="AF58" s="11"/>
      <c r="AG58" s="364"/>
      <c r="AH58" s="11">
        <v>1</v>
      </c>
      <c r="AI58" s="364">
        <v>228.1</v>
      </c>
      <c r="AJ58" s="11"/>
      <c r="AK58" s="364"/>
      <c r="AL58" s="11"/>
      <c r="AM58" s="364"/>
      <c r="AN58" s="94">
        <f t="shared" si="7"/>
        <v>1</v>
      </c>
      <c r="AO58" s="1053">
        <f t="shared" si="8"/>
        <v>228.1</v>
      </c>
      <c r="AP58" s="184"/>
      <c r="AQ58" s="184"/>
      <c r="AR58" s="752"/>
      <c r="AS58" s="753"/>
    </row>
    <row r="59" spans="1:45" s="760" customFormat="1" ht="21.75">
      <c r="A59" s="1104" t="s">
        <v>214</v>
      </c>
      <c r="B59" s="1097"/>
      <c r="C59" s="414"/>
      <c r="D59" s="12"/>
      <c r="E59" s="414"/>
      <c r="F59" s="158"/>
      <c r="G59" s="414"/>
      <c r="H59" s="15"/>
      <c r="I59" s="433"/>
      <c r="J59" s="15"/>
      <c r="K59" s="12"/>
      <c r="L59" s="12"/>
      <c r="M59" s="414"/>
      <c r="N59" s="12"/>
      <c r="O59" s="414"/>
      <c r="P59" s="12"/>
      <c r="Q59" s="414"/>
      <c r="R59" s="12"/>
      <c r="S59" s="414"/>
      <c r="T59" s="12"/>
      <c r="U59" s="414"/>
      <c r="V59" s="12"/>
      <c r="W59" s="414"/>
      <c r="X59" s="11"/>
      <c r="Y59" s="364"/>
      <c r="Z59" s="11"/>
      <c r="AA59" s="364"/>
      <c r="AB59" s="11"/>
      <c r="AC59" s="364"/>
      <c r="AD59" s="11"/>
      <c r="AE59" s="364"/>
      <c r="AF59" s="11"/>
      <c r="AG59" s="364"/>
      <c r="AH59" s="11">
        <v>2</v>
      </c>
      <c r="AI59" s="364">
        <v>493</v>
      </c>
      <c r="AJ59" s="11">
        <v>2</v>
      </c>
      <c r="AK59" s="364">
        <v>236.1</v>
      </c>
      <c r="AL59" s="11"/>
      <c r="AM59" s="364"/>
      <c r="AN59" s="94">
        <f t="shared" si="7"/>
        <v>4</v>
      </c>
      <c r="AO59" s="1053">
        <f t="shared" si="8"/>
        <v>729.1</v>
      </c>
      <c r="AQ59" s="195"/>
      <c r="AR59" s="437"/>
      <c r="AS59" s="759"/>
    </row>
    <row r="60" spans="1:45" s="760" customFormat="1" ht="21.75">
      <c r="A60" s="1104" t="s">
        <v>219</v>
      </c>
      <c r="B60" s="1097"/>
      <c r="C60" s="414"/>
      <c r="D60" s="12"/>
      <c r="E60" s="414"/>
      <c r="F60" s="158"/>
      <c r="G60" s="414"/>
      <c r="H60" s="15"/>
      <c r="I60" s="433"/>
      <c r="J60" s="15"/>
      <c r="K60" s="12"/>
      <c r="L60" s="12"/>
      <c r="M60" s="414"/>
      <c r="N60" s="12"/>
      <c r="O60" s="414"/>
      <c r="P60" s="12"/>
      <c r="Q60" s="414"/>
      <c r="R60" s="12"/>
      <c r="S60" s="414"/>
      <c r="T60" s="12"/>
      <c r="U60" s="414"/>
      <c r="V60" s="12"/>
      <c r="W60" s="414"/>
      <c r="X60" s="11"/>
      <c r="Y60" s="364"/>
      <c r="Z60" s="11"/>
      <c r="AA60" s="364"/>
      <c r="AB60" s="11"/>
      <c r="AC60" s="364"/>
      <c r="AD60" s="11"/>
      <c r="AE60" s="364"/>
      <c r="AF60" s="11"/>
      <c r="AG60" s="364"/>
      <c r="AH60" s="11">
        <v>2</v>
      </c>
      <c r="AI60" s="364">
        <v>524.6</v>
      </c>
      <c r="AJ60" s="11"/>
      <c r="AK60" s="364"/>
      <c r="AL60" s="11"/>
      <c r="AM60" s="364"/>
      <c r="AN60" s="94">
        <f t="shared" si="7"/>
        <v>2</v>
      </c>
      <c r="AO60" s="1053">
        <f t="shared" si="8"/>
        <v>524.6</v>
      </c>
      <c r="AQ60" s="195"/>
      <c r="AR60" s="437"/>
      <c r="AS60" s="759"/>
    </row>
    <row r="61" spans="1:45" s="760" customFormat="1" ht="21.75">
      <c r="A61" s="1104" t="s">
        <v>220</v>
      </c>
      <c r="B61" s="1097"/>
      <c r="C61" s="414"/>
      <c r="D61" s="12"/>
      <c r="E61" s="414"/>
      <c r="F61" s="158"/>
      <c r="G61" s="414"/>
      <c r="H61" s="15"/>
      <c r="I61" s="433"/>
      <c r="J61" s="15"/>
      <c r="K61" s="12"/>
      <c r="L61" s="12"/>
      <c r="M61" s="414"/>
      <c r="N61" s="12"/>
      <c r="O61" s="414"/>
      <c r="P61" s="12"/>
      <c r="Q61" s="414"/>
      <c r="R61" s="12"/>
      <c r="S61" s="414"/>
      <c r="T61" s="12"/>
      <c r="U61" s="414"/>
      <c r="V61" s="12"/>
      <c r="W61" s="414"/>
      <c r="X61" s="11"/>
      <c r="Y61" s="364"/>
      <c r="Z61" s="11"/>
      <c r="AA61" s="364"/>
      <c r="AB61" s="11"/>
      <c r="AC61" s="364"/>
      <c r="AD61" s="11"/>
      <c r="AE61" s="364"/>
      <c r="AF61" s="11"/>
      <c r="AG61" s="364"/>
      <c r="AH61" s="11">
        <v>1</v>
      </c>
      <c r="AI61" s="364">
        <v>178.7</v>
      </c>
      <c r="AJ61" s="11"/>
      <c r="AK61" s="364"/>
      <c r="AL61" s="11"/>
      <c r="AM61" s="364"/>
      <c r="AN61" s="94">
        <f t="shared" si="7"/>
        <v>1</v>
      </c>
      <c r="AO61" s="1053">
        <f t="shared" si="8"/>
        <v>178.7</v>
      </c>
      <c r="AQ61" s="195"/>
      <c r="AR61" s="437"/>
      <c r="AS61" s="759"/>
    </row>
    <row r="62" spans="1:45" s="1062" customFormat="1" ht="21.75">
      <c r="A62" s="1105" t="s">
        <v>221</v>
      </c>
      <c r="B62" s="1107"/>
      <c r="C62" s="1060"/>
      <c r="D62" s="1061"/>
      <c r="E62" s="1060"/>
      <c r="F62" s="1059"/>
      <c r="G62" s="1060"/>
      <c r="H62" s="1061"/>
      <c r="I62" s="1060"/>
      <c r="J62" s="270"/>
      <c r="M62" s="1063"/>
      <c r="O62" s="1063"/>
      <c r="Q62" s="1063"/>
      <c r="R62" s="1061"/>
      <c r="S62" s="1063"/>
      <c r="U62" s="1063"/>
      <c r="W62" s="1063"/>
      <c r="X62" s="270"/>
      <c r="Y62" s="1063"/>
      <c r="AA62" s="1063"/>
      <c r="AB62" s="270"/>
      <c r="AC62" s="1060"/>
      <c r="AD62" s="1061"/>
      <c r="AE62" s="1060"/>
      <c r="AF62" s="270"/>
      <c r="AG62" s="1063"/>
      <c r="AH62" s="1070">
        <v>1</v>
      </c>
      <c r="AI62" s="1071">
        <v>295.8</v>
      </c>
      <c r="AJ62" s="270"/>
      <c r="AK62" s="1063"/>
      <c r="AL62" s="270"/>
      <c r="AM62" s="1063"/>
      <c r="AN62" s="165">
        <f t="shared" si="7"/>
        <v>1</v>
      </c>
      <c r="AO62" s="1054">
        <f t="shared" si="8"/>
        <v>295.8</v>
      </c>
      <c r="AQ62" s="1064"/>
      <c r="AR62" s="279"/>
      <c r="AS62" s="270"/>
    </row>
    <row r="63" spans="1:45" s="760" customFormat="1" ht="22.5" thickBot="1">
      <c r="A63" s="245" t="s">
        <v>525</v>
      </c>
      <c r="B63" s="1108"/>
      <c r="C63" s="757"/>
      <c r="D63" s="758"/>
      <c r="E63" s="757"/>
      <c r="F63" s="756"/>
      <c r="G63" s="757"/>
      <c r="H63" s="758"/>
      <c r="I63" s="757"/>
      <c r="J63" s="759"/>
      <c r="M63" s="761"/>
      <c r="O63" s="761"/>
      <c r="Q63" s="761"/>
      <c r="R63" s="758"/>
      <c r="S63" s="761"/>
      <c r="U63" s="761"/>
      <c r="W63" s="761"/>
      <c r="X63" s="759"/>
      <c r="Y63" s="761"/>
      <c r="Z63" s="1073">
        <v>1</v>
      </c>
      <c r="AA63" s="1072">
        <v>62.7</v>
      </c>
      <c r="AB63" s="759"/>
      <c r="AC63" s="757"/>
      <c r="AD63" s="758"/>
      <c r="AE63" s="757"/>
      <c r="AF63" s="759"/>
      <c r="AG63" s="1072">
        <v>3276</v>
      </c>
      <c r="AI63" s="761"/>
      <c r="AJ63" s="759"/>
      <c r="AK63" s="761"/>
      <c r="AL63" s="759"/>
      <c r="AM63" s="761"/>
      <c r="AN63" s="94">
        <f>SUM(B63,D63,F63,H63,J63,L63,N63,P63,R63,T63,V63,X63,Z63,AB63,AD63,AF63,AH63,AJ63,AL63)</f>
        <v>1</v>
      </c>
      <c r="AO63" s="1053">
        <f>SUM(C63,E63,G63,I63,K63,M63,O63,Q63,S63,U63,W63,Y63,AA63,AC63,AE63,AG63,AI63,AK63,AM63)</f>
        <v>3338.7</v>
      </c>
      <c r="AQ63" s="195"/>
      <c r="AR63" s="437"/>
      <c r="AS63" s="759"/>
    </row>
    <row r="64" spans="1:45" s="766" customFormat="1" ht="24.75" customHeight="1" thickBot="1">
      <c r="A64" s="763" t="s">
        <v>507</v>
      </c>
      <c r="B64" s="764">
        <f aca="true" t="shared" si="9" ref="B64:I64">SUM(B5:B63)</f>
        <v>101</v>
      </c>
      <c r="C64" s="762">
        <f t="shared" si="9"/>
        <v>28086.200000000008</v>
      </c>
      <c r="D64" s="764">
        <f t="shared" si="9"/>
        <v>11</v>
      </c>
      <c r="E64" s="762">
        <f t="shared" si="9"/>
        <v>2361.3</v>
      </c>
      <c r="F64" s="764">
        <f t="shared" si="9"/>
        <v>18</v>
      </c>
      <c r="G64" s="762">
        <f t="shared" si="9"/>
        <v>3451.2000000000003</v>
      </c>
      <c r="H64" s="764">
        <f t="shared" si="9"/>
        <v>344</v>
      </c>
      <c r="I64" s="762">
        <f t="shared" si="9"/>
        <v>38101.600000000006</v>
      </c>
      <c r="J64" s="764">
        <f>SUM(J5:J54)</f>
        <v>0</v>
      </c>
      <c r="K64" s="764">
        <f>SUM(K5:K54)</f>
        <v>0</v>
      </c>
      <c r="L64" s="764">
        <f aca="true" t="shared" si="10" ref="L64:AO64">SUM(L5:L63)</f>
        <v>16</v>
      </c>
      <c r="M64" s="762">
        <f t="shared" si="10"/>
        <v>1939.5</v>
      </c>
      <c r="N64" s="764">
        <f t="shared" si="10"/>
        <v>1</v>
      </c>
      <c r="O64" s="762">
        <f t="shared" si="10"/>
        <v>419</v>
      </c>
      <c r="P64" s="764">
        <f t="shared" si="10"/>
        <v>21</v>
      </c>
      <c r="Q64" s="762">
        <f t="shared" si="10"/>
        <v>5237.200000000001</v>
      </c>
      <c r="R64" s="764">
        <f t="shared" si="10"/>
        <v>3</v>
      </c>
      <c r="S64" s="762">
        <f t="shared" si="10"/>
        <v>1203.4</v>
      </c>
      <c r="T64" s="764">
        <f t="shared" si="10"/>
        <v>31</v>
      </c>
      <c r="U64" s="762">
        <f t="shared" si="10"/>
        <v>3183.1</v>
      </c>
      <c r="V64" s="764">
        <f t="shared" si="10"/>
        <v>32</v>
      </c>
      <c r="W64" s="762">
        <f t="shared" si="10"/>
        <v>6016.6</v>
      </c>
      <c r="X64" s="764">
        <f t="shared" si="10"/>
        <v>28</v>
      </c>
      <c r="Y64" s="762">
        <f t="shared" si="10"/>
        <v>9004.5</v>
      </c>
      <c r="Z64" s="764">
        <f t="shared" si="10"/>
        <v>142</v>
      </c>
      <c r="AA64" s="762">
        <f t="shared" si="10"/>
        <v>20678.399999999998</v>
      </c>
      <c r="AB64" s="764">
        <f t="shared" si="10"/>
        <v>95</v>
      </c>
      <c r="AC64" s="762">
        <f t="shared" si="10"/>
        <v>36860.299999999996</v>
      </c>
      <c r="AD64" s="764">
        <f t="shared" si="10"/>
        <v>11</v>
      </c>
      <c r="AE64" s="762">
        <f t="shared" si="10"/>
        <v>2996.4000000000005</v>
      </c>
      <c r="AF64" s="764">
        <f t="shared" si="10"/>
        <v>126</v>
      </c>
      <c r="AG64" s="762">
        <f t="shared" si="10"/>
        <v>32676</v>
      </c>
      <c r="AH64" s="764">
        <f t="shared" si="10"/>
        <v>61</v>
      </c>
      <c r="AI64" s="762">
        <f t="shared" si="10"/>
        <v>9291.4</v>
      </c>
      <c r="AJ64" s="764">
        <f t="shared" si="10"/>
        <v>73</v>
      </c>
      <c r="AK64" s="762">
        <f t="shared" si="10"/>
        <v>10422.800000000001</v>
      </c>
      <c r="AL64" s="764">
        <f t="shared" si="10"/>
        <v>2</v>
      </c>
      <c r="AM64" s="762">
        <f t="shared" si="10"/>
        <v>245.1</v>
      </c>
      <c r="AN64" s="764">
        <f t="shared" si="10"/>
        <v>1116</v>
      </c>
      <c r="AO64" s="1056">
        <f t="shared" si="10"/>
        <v>212174.00000000003</v>
      </c>
      <c r="AP64" s="764"/>
      <c r="AQ64" s="765"/>
      <c r="AS64" s="767"/>
    </row>
    <row r="65" spans="1:41" s="138" customFormat="1" ht="20.25" customHeight="1">
      <c r="A65" s="9" t="s">
        <v>526</v>
      </c>
      <c r="B65" s="25"/>
      <c r="C65" s="484"/>
      <c r="D65" s="26"/>
      <c r="E65" s="484"/>
      <c r="F65" s="31"/>
      <c r="G65" s="487"/>
      <c r="H65" s="24"/>
      <c r="I65" s="484"/>
      <c r="J65" s="25"/>
      <c r="K65" s="484"/>
      <c r="L65" s="24"/>
      <c r="M65" s="24"/>
      <c r="N65" s="32"/>
      <c r="O65" s="390"/>
      <c r="P65" s="65"/>
      <c r="Q65" s="65"/>
      <c r="R65" s="65"/>
      <c r="S65" s="65"/>
      <c r="T65" s="65"/>
      <c r="U65" s="65"/>
      <c r="AO65" s="1057"/>
    </row>
    <row r="66" spans="3:41" ht="24.75" customHeight="1">
      <c r="C66" s="325"/>
      <c r="E66" s="325"/>
      <c r="G66" s="325"/>
      <c r="I66" s="325"/>
      <c r="M66" s="325"/>
      <c r="O66" s="325"/>
      <c r="Q66" s="325"/>
      <c r="S66" s="325"/>
      <c r="U66" s="325"/>
      <c r="W66" s="325"/>
      <c r="Y66" s="325"/>
      <c r="AA66" s="325"/>
      <c r="AC66" s="325"/>
      <c r="AE66" s="325"/>
      <c r="AG66" s="325"/>
      <c r="AI66" s="325"/>
      <c r="AK66" s="325"/>
      <c r="AM66" s="325"/>
      <c r="AO66" s="467"/>
    </row>
    <row r="67" spans="3:41" ht="24" customHeight="1">
      <c r="C67" s="325"/>
      <c r="E67" s="325"/>
      <c r="G67" s="325"/>
      <c r="I67" s="325"/>
      <c r="M67" s="325"/>
      <c r="O67" s="325"/>
      <c r="Q67" s="325"/>
      <c r="S67" s="325"/>
      <c r="U67" s="325"/>
      <c r="W67" s="325"/>
      <c r="Y67" s="325"/>
      <c r="AA67" s="325"/>
      <c r="AC67" s="325"/>
      <c r="AE67" s="325"/>
      <c r="AG67" s="325"/>
      <c r="AI67" s="325"/>
      <c r="AK67" s="325"/>
      <c r="AM67" s="325"/>
      <c r="AO67" s="467"/>
    </row>
    <row r="68" spans="3:41" ht="23.25" customHeight="1">
      <c r="C68" s="432"/>
      <c r="E68" s="325"/>
      <c r="G68" s="325"/>
      <c r="I68" s="414"/>
      <c r="M68" s="325"/>
      <c r="O68" s="325"/>
      <c r="Q68" s="325"/>
      <c r="S68" s="325"/>
      <c r="U68" s="325"/>
      <c r="W68" s="325"/>
      <c r="Y68" s="325"/>
      <c r="AA68" s="325"/>
      <c r="AC68" s="325"/>
      <c r="AE68" s="325"/>
      <c r="AG68" s="325"/>
      <c r="AI68" s="325"/>
      <c r="AK68" s="325"/>
      <c r="AM68" s="325"/>
      <c r="AO68" s="467"/>
    </row>
    <row r="69" spans="1:41" ht="21.75" customHeight="1">
      <c r="A69" t="s">
        <v>92</v>
      </c>
      <c r="C69" s="325"/>
      <c r="E69" s="325"/>
      <c r="G69" s="325"/>
      <c r="I69" s="325"/>
      <c r="M69" s="325"/>
      <c r="O69" s="325"/>
      <c r="Q69" s="325"/>
      <c r="S69" s="325"/>
      <c r="U69" s="325"/>
      <c r="W69" s="325"/>
      <c r="Y69" s="325"/>
      <c r="AA69" s="325"/>
      <c r="AC69" s="325"/>
      <c r="AE69" s="325"/>
      <c r="AG69" s="325"/>
      <c r="AI69" s="325"/>
      <c r="AK69" s="325"/>
      <c r="AM69" s="325"/>
      <c r="AO69" s="467"/>
    </row>
    <row r="70" spans="3:41" ht="21.75" customHeight="1">
      <c r="C70" s="325"/>
      <c r="E70" s="325"/>
      <c r="G70" s="325"/>
      <c r="I70" s="325"/>
      <c r="M70" s="325"/>
      <c r="O70" s="325"/>
      <c r="Q70" s="325"/>
      <c r="S70" s="325"/>
      <c r="U70" s="325"/>
      <c r="W70" s="325"/>
      <c r="Y70" s="325"/>
      <c r="AA70" s="325"/>
      <c r="AC70" s="325"/>
      <c r="AE70" s="325"/>
      <c r="AG70" s="325"/>
      <c r="AI70" s="325"/>
      <c r="AK70" s="325"/>
      <c r="AM70" s="325"/>
      <c r="AO70" s="467"/>
    </row>
    <row r="71" spans="3:41" ht="26.25" customHeight="1">
      <c r="C71" s="325"/>
      <c r="E71" s="325"/>
      <c r="G71" s="325"/>
      <c r="I71" s="325"/>
      <c r="M71" s="325"/>
      <c r="O71" s="325"/>
      <c r="Q71" s="325"/>
      <c r="S71" s="325"/>
      <c r="U71" s="325"/>
      <c r="W71" s="325"/>
      <c r="Y71" s="325"/>
      <c r="AA71" s="325"/>
      <c r="AC71" s="325"/>
      <c r="AE71" s="325"/>
      <c r="AG71" s="325"/>
      <c r="AI71" s="325"/>
      <c r="AK71" s="325"/>
      <c r="AM71" s="325"/>
      <c r="AO71" s="467"/>
    </row>
    <row r="72" spans="3:41" ht="23.25" customHeight="1">
      <c r="C72" s="325"/>
      <c r="E72" s="325"/>
      <c r="G72" s="325"/>
      <c r="I72" s="325"/>
      <c r="M72" s="325"/>
      <c r="O72" s="325"/>
      <c r="Q72" s="325"/>
      <c r="S72" s="325"/>
      <c r="U72" s="325"/>
      <c r="W72" s="325"/>
      <c r="Y72" s="325"/>
      <c r="AA72" s="325"/>
      <c r="AC72" s="325"/>
      <c r="AE72" s="325"/>
      <c r="AG72" s="325"/>
      <c r="AI72" s="325"/>
      <c r="AK72" s="325"/>
      <c r="AM72" s="325"/>
      <c r="AO72" s="467"/>
    </row>
    <row r="73" spans="3:41" ht="23.25" customHeight="1">
      <c r="C73" s="325"/>
      <c r="E73" s="325"/>
      <c r="G73" s="325"/>
      <c r="I73" s="325"/>
      <c r="M73" s="325"/>
      <c r="O73" s="325"/>
      <c r="Q73" s="325"/>
      <c r="S73" s="325"/>
      <c r="U73" s="325"/>
      <c r="W73" s="325"/>
      <c r="Y73" s="325"/>
      <c r="AA73" s="325"/>
      <c r="AC73" s="325"/>
      <c r="AE73" s="325"/>
      <c r="AG73" s="325"/>
      <c r="AI73" s="325"/>
      <c r="AK73" s="325"/>
      <c r="AM73" s="325"/>
      <c r="AO73" s="467"/>
    </row>
    <row r="74" spans="3:41" ht="23.25" customHeight="1">
      <c r="C74" s="325"/>
      <c r="E74" s="325"/>
      <c r="G74" s="325"/>
      <c r="I74" s="325"/>
      <c r="M74" s="325"/>
      <c r="O74" s="325"/>
      <c r="Q74" s="325"/>
      <c r="S74" s="325"/>
      <c r="U74" s="325"/>
      <c r="W74" s="325"/>
      <c r="Y74" s="325"/>
      <c r="AA74" s="325"/>
      <c r="AC74" s="325"/>
      <c r="AE74" s="325"/>
      <c r="AG74" s="325"/>
      <c r="AI74" s="325"/>
      <c r="AK74" s="325"/>
      <c r="AM74" s="325"/>
      <c r="AO74" s="467"/>
    </row>
    <row r="75" spans="3:41" ht="22.5" customHeight="1">
      <c r="C75" s="325"/>
      <c r="E75" s="325"/>
      <c r="G75" s="325"/>
      <c r="I75" s="325"/>
      <c r="M75" s="325"/>
      <c r="O75" s="325"/>
      <c r="Q75" s="325"/>
      <c r="S75" s="325"/>
      <c r="U75" s="325"/>
      <c r="W75" s="325"/>
      <c r="Y75" s="325"/>
      <c r="AA75" s="325"/>
      <c r="AC75" s="325"/>
      <c r="AE75" s="325"/>
      <c r="AG75" s="325"/>
      <c r="AI75" s="325"/>
      <c r="AK75" s="325"/>
      <c r="AM75" s="325"/>
      <c r="AO75" s="467"/>
    </row>
    <row r="76" spans="3:41" ht="24.75" customHeight="1">
      <c r="C76" s="325"/>
      <c r="E76" s="325"/>
      <c r="G76" s="325"/>
      <c r="I76" s="325"/>
      <c r="M76" s="325"/>
      <c r="O76" s="325"/>
      <c r="Q76" s="325"/>
      <c r="S76" s="325"/>
      <c r="U76" s="325"/>
      <c r="W76" s="325"/>
      <c r="Y76" s="325"/>
      <c r="AA76" s="325"/>
      <c r="AC76" s="325"/>
      <c r="AE76" s="325"/>
      <c r="AG76" s="325"/>
      <c r="AI76" s="325"/>
      <c r="AK76" s="325"/>
      <c r="AM76" s="325"/>
      <c r="AO76" s="467"/>
    </row>
    <row r="77" spans="3:41" ht="23.25" customHeight="1">
      <c r="C77" s="325"/>
      <c r="E77" s="325"/>
      <c r="G77" s="325"/>
      <c r="I77" s="325"/>
      <c r="M77" s="325"/>
      <c r="O77" s="325"/>
      <c r="Q77" s="325"/>
      <c r="S77" s="325"/>
      <c r="U77" s="325"/>
      <c r="W77" s="325"/>
      <c r="Y77" s="325"/>
      <c r="AA77" s="325"/>
      <c r="AC77" s="325"/>
      <c r="AE77" s="325"/>
      <c r="AG77" s="325"/>
      <c r="AI77" s="325"/>
      <c r="AK77" s="325"/>
      <c r="AM77" s="325"/>
      <c r="AO77" s="467"/>
    </row>
    <row r="78" spans="3:41" ht="23.25" customHeight="1">
      <c r="C78" s="325"/>
      <c r="E78" s="325"/>
      <c r="G78" s="325"/>
      <c r="I78" s="325"/>
      <c r="M78" s="325"/>
      <c r="O78" s="325"/>
      <c r="Q78" s="325"/>
      <c r="S78" s="325"/>
      <c r="U78" s="325"/>
      <c r="W78" s="325"/>
      <c r="Y78" s="325"/>
      <c r="AA78" s="325"/>
      <c r="AC78" s="325"/>
      <c r="AE78" s="325"/>
      <c r="AG78" s="325"/>
      <c r="AI78" s="325"/>
      <c r="AK78" s="325"/>
      <c r="AM78" s="325"/>
      <c r="AO78" s="467"/>
    </row>
    <row r="79" spans="3:41" ht="23.25" customHeight="1">
      <c r="C79" s="325"/>
      <c r="E79" s="325"/>
      <c r="G79" s="325"/>
      <c r="I79" s="325"/>
      <c r="M79" s="325"/>
      <c r="O79" s="325"/>
      <c r="Q79" s="325"/>
      <c r="S79" s="325"/>
      <c r="U79" s="325"/>
      <c r="W79" s="325"/>
      <c r="Y79" s="325"/>
      <c r="AA79" s="325"/>
      <c r="AC79" s="325"/>
      <c r="AE79" s="325"/>
      <c r="AG79" s="325"/>
      <c r="AI79" s="325"/>
      <c r="AK79" s="325"/>
      <c r="AM79" s="325"/>
      <c r="AO79" s="467"/>
    </row>
    <row r="80" spans="3:41" ht="23.25" customHeight="1">
      <c r="C80" s="325"/>
      <c r="E80" s="325"/>
      <c r="G80" s="325"/>
      <c r="I80" s="325"/>
      <c r="M80" s="325"/>
      <c r="O80" s="325"/>
      <c r="Q80" s="325"/>
      <c r="S80" s="325"/>
      <c r="U80" s="325"/>
      <c r="W80" s="325"/>
      <c r="Y80" s="325"/>
      <c r="AA80" s="325"/>
      <c r="AC80" s="325"/>
      <c r="AE80" s="325"/>
      <c r="AG80" s="325"/>
      <c r="AI80" s="325"/>
      <c r="AK80" s="325"/>
      <c r="AM80" s="325"/>
      <c r="AO80" s="467"/>
    </row>
    <row r="81" spans="3:41" ht="24.75" customHeight="1">
      <c r="C81" s="325"/>
      <c r="E81" s="325"/>
      <c r="G81" s="325"/>
      <c r="I81" s="325"/>
      <c r="M81" s="325"/>
      <c r="O81" s="325"/>
      <c r="Q81" s="325"/>
      <c r="S81" s="325"/>
      <c r="U81" s="325"/>
      <c r="W81" s="325"/>
      <c r="Y81" s="325"/>
      <c r="AA81" s="325"/>
      <c r="AC81" s="325"/>
      <c r="AE81" s="325"/>
      <c r="AG81" s="325"/>
      <c r="AI81" s="325"/>
      <c r="AK81" s="325"/>
      <c r="AM81" s="325"/>
      <c r="AO81" s="467"/>
    </row>
    <row r="82" spans="3:41" ht="24.75" customHeight="1">
      <c r="C82" s="325"/>
      <c r="E82" s="325"/>
      <c r="G82" s="325"/>
      <c r="I82" s="325"/>
      <c r="M82" s="325"/>
      <c r="O82" s="325"/>
      <c r="Q82" s="325"/>
      <c r="S82" s="325"/>
      <c r="U82" s="325"/>
      <c r="W82" s="325"/>
      <c r="Y82" s="325"/>
      <c r="AA82" s="325"/>
      <c r="AC82" s="325"/>
      <c r="AE82" s="325"/>
      <c r="AG82" s="325"/>
      <c r="AI82" s="325"/>
      <c r="AK82" s="325"/>
      <c r="AM82" s="325"/>
      <c r="AO82" s="467"/>
    </row>
    <row r="83" spans="3:41" ht="23.25" customHeight="1">
      <c r="C83" s="325"/>
      <c r="E83" s="325"/>
      <c r="G83" s="325"/>
      <c r="I83" s="325"/>
      <c r="M83" s="325"/>
      <c r="O83" s="325"/>
      <c r="Q83" s="325"/>
      <c r="S83" s="325"/>
      <c r="U83" s="325"/>
      <c r="W83" s="325"/>
      <c r="Y83" s="325"/>
      <c r="AA83" s="325"/>
      <c r="AC83" s="325"/>
      <c r="AE83" s="325"/>
      <c r="AG83" s="325"/>
      <c r="AI83" s="325"/>
      <c r="AK83" s="325"/>
      <c r="AM83" s="325"/>
      <c r="AO83" s="467"/>
    </row>
    <row r="84" spans="3:41" ht="23.25" customHeight="1">
      <c r="C84" s="325"/>
      <c r="E84" s="325"/>
      <c r="G84" s="325"/>
      <c r="I84" s="325"/>
      <c r="M84" s="325"/>
      <c r="O84" s="325"/>
      <c r="Q84" s="325"/>
      <c r="S84" s="325"/>
      <c r="U84" s="325"/>
      <c r="W84" s="325"/>
      <c r="Y84" s="325"/>
      <c r="AA84" s="325"/>
      <c r="AC84" s="325"/>
      <c r="AE84" s="325"/>
      <c r="AG84" s="325"/>
      <c r="AI84" s="325"/>
      <c r="AK84" s="325"/>
      <c r="AM84" s="325"/>
      <c r="AO84" s="467"/>
    </row>
    <row r="85" spans="3:41" ht="26.25" customHeight="1">
      <c r="C85" s="325"/>
      <c r="E85" s="325"/>
      <c r="G85" s="325"/>
      <c r="I85" s="325"/>
      <c r="M85" s="325"/>
      <c r="O85" s="325"/>
      <c r="Q85" s="325"/>
      <c r="S85" s="325"/>
      <c r="U85" s="325"/>
      <c r="W85" s="325"/>
      <c r="Y85" s="325"/>
      <c r="AA85" s="325"/>
      <c r="AC85" s="325"/>
      <c r="AE85" s="325"/>
      <c r="AG85" s="325"/>
      <c r="AI85" s="325"/>
      <c r="AK85" s="325"/>
      <c r="AM85" s="325"/>
      <c r="AO85" s="467"/>
    </row>
    <row r="86" spans="3:41" ht="23.25" customHeight="1">
      <c r="C86" s="325"/>
      <c r="E86" s="325"/>
      <c r="G86" s="325"/>
      <c r="I86" s="325"/>
      <c r="M86" s="325"/>
      <c r="O86" s="325"/>
      <c r="Q86" s="325"/>
      <c r="S86" s="325"/>
      <c r="U86" s="325"/>
      <c r="W86" s="325"/>
      <c r="Y86" s="325"/>
      <c r="AA86" s="325"/>
      <c r="AC86" s="325"/>
      <c r="AE86" s="325"/>
      <c r="AG86" s="325"/>
      <c r="AI86" s="325"/>
      <c r="AK86" s="325"/>
      <c r="AM86" s="325"/>
      <c r="AO86" s="467"/>
    </row>
    <row r="87" spans="3:41" ht="12.75">
      <c r="C87" s="325"/>
      <c r="E87" s="325"/>
      <c r="G87" s="325"/>
      <c r="I87" s="325"/>
      <c r="M87" s="325"/>
      <c r="O87" s="325"/>
      <c r="Q87" s="325"/>
      <c r="S87" s="325"/>
      <c r="U87" s="325"/>
      <c r="W87" s="325"/>
      <c r="Y87" s="325"/>
      <c r="AA87" s="325"/>
      <c r="AC87" s="325"/>
      <c r="AE87" s="325"/>
      <c r="AG87" s="325"/>
      <c r="AI87" s="325"/>
      <c r="AK87" s="325"/>
      <c r="AM87" s="325"/>
      <c r="AO87" s="467"/>
    </row>
    <row r="88" spans="3:41" ht="12.75">
      <c r="C88" s="325"/>
      <c r="E88" s="325"/>
      <c r="G88" s="325"/>
      <c r="I88" s="325"/>
      <c r="M88" s="325"/>
      <c r="O88" s="325"/>
      <c r="Q88" s="325"/>
      <c r="S88" s="325"/>
      <c r="U88" s="325"/>
      <c r="W88" s="325"/>
      <c r="Y88" s="325"/>
      <c r="AA88" s="325"/>
      <c r="AC88" s="325"/>
      <c r="AE88" s="325"/>
      <c r="AG88" s="325"/>
      <c r="AI88" s="325"/>
      <c r="AK88" s="325"/>
      <c r="AM88" s="325"/>
      <c r="AO88" s="467"/>
    </row>
    <row r="89" spans="3:41" ht="69" customHeight="1">
      <c r="C89" s="325"/>
      <c r="E89" s="325"/>
      <c r="G89" s="325"/>
      <c r="I89" s="325"/>
      <c r="M89" s="325"/>
      <c r="O89" s="325"/>
      <c r="Q89" s="325"/>
      <c r="S89" s="325"/>
      <c r="U89" s="325"/>
      <c r="W89" s="325"/>
      <c r="Y89" s="325"/>
      <c r="AA89" s="325"/>
      <c r="AC89" s="325"/>
      <c r="AE89" s="325"/>
      <c r="AG89" s="325"/>
      <c r="AI89" s="325"/>
      <c r="AK89" s="325"/>
      <c r="AM89" s="325"/>
      <c r="AO89" s="467"/>
    </row>
    <row r="90" spans="3:41" ht="21.75" customHeight="1">
      <c r="C90" s="325"/>
      <c r="E90" s="325"/>
      <c r="G90" s="325"/>
      <c r="I90" s="325"/>
      <c r="M90" s="325"/>
      <c r="O90" s="325"/>
      <c r="Q90" s="325"/>
      <c r="S90" s="325"/>
      <c r="U90" s="325"/>
      <c r="W90" s="325"/>
      <c r="Y90" s="325"/>
      <c r="AA90" s="325"/>
      <c r="AC90" s="325"/>
      <c r="AE90" s="325"/>
      <c r="AG90" s="325"/>
      <c r="AI90" s="325"/>
      <c r="AK90" s="325"/>
      <c r="AM90" s="325"/>
      <c r="AO90" s="467"/>
    </row>
    <row r="91" spans="3:41" ht="26.25" customHeight="1">
      <c r="C91" s="325"/>
      <c r="E91" s="325"/>
      <c r="G91" s="325"/>
      <c r="I91" s="325"/>
      <c r="M91" s="325"/>
      <c r="O91" s="325"/>
      <c r="Q91" s="325"/>
      <c r="S91" s="325"/>
      <c r="U91" s="325"/>
      <c r="W91" s="325"/>
      <c r="Y91" s="325"/>
      <c r="AA91" s="325"/>
      <c r="AC91" s="325"/>
      <c r="AE91" s="325"/>
      <c r="AG91" s="325"/>
      <c r="AI91" s="325"/>
      <c r="AK91" s="325"/>
      <c r="AM91" s="325"/>
      <c r="AO91" s="467"/>
    </row>
    <row r="92" spans="3:41" ht="20.25" customHeight="1">
      <c r="C92" s="325"/>
      <c r="E92" s="325"/>
      <c r="G92" s="325"/>
      <c r="I92" s="325"/>
      <c r="M92" s="325"/>
      <c r="O92" s="325"/>
      <c r="Q92" s="325"/>
      <c r="S92" s="325"/>
      <c r="U92" s="325"/>
      <c r="W92" s="325"/>
      <c r="Y92" s="325"/>
      <c r="AA92" s="325"/>
      <c r="AC92" s="325"/>
      <c r="AE92" s="325"/>
      <c r="AG92" s="325"/>
      <c r="AI92" s="325"/>
      <c r="AK92" s="325"/>
      <c r="AM92" s="325"/>
      <c r="AO92" s="467"/>
    </row>
    <row r="93" spans="3:41" ht="20.25" customHeight="1">
      <c r="C93" s="325"/>
      <c r="E93" s="325"/>
      <c r="G93" s="325"/>
      <c r="I93" s="325"/>
      <c r="M93" s="325"/>
      <c r="O93" s="325"/>
      <c r="Q93" s="325"/>
      <c r="S93" s="325"/>
      <c r="U93" s="325"/>
      <c r="W93" s="325"/>
      <c r="Y93" s="325"/>
      <c r="AA93" s="325"/>
      <c r="AC93" s="325"/>
      <c r="AE93" s="325"/>
      <c r="AG93" s="325"/>
      <c r="AI93" s="325"/>
      <c r="AK93" s="325"/>
      <c r="AM93" s="325"/>
      <c r="AO93" s="467"/>
    </row>
    <row r="94" spans="3:41" ht="20.25" customHeight="1">
      <c r="C94" s="325"/>
      <c r="E94" s="325"/>
      <c r="G94" s="325"/>
      <c r="I94" s="325"/>
      <c r="M94" s="325"/>
      <c r="O94" s="325"/>
      <c r="Q94" s="325"/>
      <c r="S94" s="325"/>
      <c r="U94" s="325"/>
      <c r="W94" s="325"/>
      <c r="Y94" s="325"/>
      <c r="AA94" s="325"/>
      <c r="AC94" s="325"/>
      <c r="AE94" s="325"/>
      <c r="AG94" s="325"/>
      <c r="AI94" s="325"/>
      <c r="AK94" s="325"/>
      <c r="AM94" s="325"/>
      <c r="AO94" s="467"/>
    </row>
    <row r="95" spans="3:41" ht="20.25" customHeight="1">
      <c r="C95" s="325"/>
      <c r="E95" s="325"/>
      <c r="G95" s="325"/>
      <c r="I95" s="325"/>
      <c r="M95" s="325"/>
      <c r="O95" s="325"/>
      <c r="Q95" s="325"/>
      <c r="S95" s="325"/>
      <c r="U95" s="325"/>
      <c r="W95" s="325"/>
      <c r="Y95" s="325"/>
      <c r="AA95" s="325"/>
      <c r="AC95" s="325"/>
      <c r="AE95" s="325"/>
      <c r="AG95" s="325"/>
      <c r="AI95" s="325"/>
      <c r="AK95" s="325"/>
      <c r="AM95" s="325"/>
      <c r="AO95" s="467"/>
    </row>
    <row r="96" spans="3:41" ht="20.25" customHeight="1">
      <c r="C96" s="325"/>
      <c r="E96" s="325"/>
      <c r="G96" s="325"/>
      <c r="I96" s="325"/>
      <c r="M96" s="325"/>
      <c r="O96" s="325"/>
      <c r="Q96" s="325"/>
      <c r="S96" s="325"/>
      <c r="U96" s="325"/>
      <c r="W96" s="325"/>
      <c r="Y96" s="325"/>
      <c r="AA96" s="325"/>
      <c r="AC96" s="325"/>
      <c r="AE96" s="325"/>
      <c r="AG96" s="325"/>
      <c r="AI96" s="325"/>
      <c r="AK96" s="325"/>
      <c r="AM96" s="325"/>
      <c r="AO96" s="467"/>
    </row>
    <row r="97" spans="3:41" ht="20.25" customHeight="1">
      <c r="C97" s="325"/>
      <c r="E97" s="325"/>
      <c r="G97" s="325"/>
      <c r="I97" s="325"/>
      <c r="M97" s="325"/>
      <c r="O97" s="325"/>
      <c r="Q97" s="325"/>
      <c r="S97" s="325"/>
      <c r="U97" s="325"/>
      <c r="W97" s="325"/>
      <c r="Y97" s="325"/>
      <c r="AA97" s="325"/>
      <c r="AC97" s="325"/>
      <c r="AE97" s="325"/>
      <c r="AG97" s="325"/>
      <c r="AI97" s="325"/>
      <c r="AK97" s="325"/>
      <c r="AM97" s="325"/>
      <c r="AO97" s="467"/>
    </row>
    <row r="98" spans="3:41" ht="21.75" customHeight="1">
      <c r="C98" s="325"/>
      <c r="E98" s="325"/>
      <c r="G98" s="325"/>
      <c r="I98" s="325"/>
      <c r="M98" s="325"/>
      <c r="O98" s="325"/>
      <c r="Q98" s="325"/>
      <c r="S98" s="325"/>
      <c r="U98" s="325"/>
      <c r="W98" s="325"/>
      <c r="Y98" s="325"/>
      <c r="AA98" s="325"/>
      <c r="AC98" s="325"/>
      <c r="AE98" s="325"/>
      <c r="AG98" s="325"/>
      <c r="AI98" s="325"/>
      <c r="AK98" s="325"/>
      <c r="AM98" s="325"/>
      <c r="AO98" s="467"/>
    </row>
    <row r="99" spans="3:41" ht="24" customHeight="1">
      <c r="C99" s="325"/>
      <c r="E99" s="325"/>
      <c r="G99" s="325"/>
      <c r="I99" s="325"/>
      <c r="M99" s="325"/>
      <c r="O99" s="325"/>
      <c r="Q99" s="325"/>
      <c r="S99" s="325"/>
      <c r="U99" s="325"/>
      <c r="W99" s="325"/>
      <c r="Y99" s="325"/>
      <c r="AA99" s="325"/>
      <c r="AC99" s="325"/>
      <c r="AE99" s="325"/>
      <c r="AG99" s="325"/>
      <c r="AI99" s="325"/>
      <c r="AK99" s="325"/>
      <c r="AM99" s="325"/>
      <c r="AO99" s="467"/>
    </row>
    <row r="100" spans="3:41" ht="12.75">
      <c r="C100" s="325"/>
      <c r="E100" s="325"/>
      <c r="G100" s="325"/>
      <c r="I100" s="325"/>
      <c r="M100" s="325"/>
      <c r="O100" s="325"/>
      <c r="Q100" s="325"/>
      <c r="S100" s="325"/>
      <c r="U100" s="325"/>
      <c r="W100" s="325"/>
      <c r="Y100" s="325"/>
      <c r="AA100" s="325"/>
      <c r="AC100" s="325"/>
      <c r="AE100" s="325"/>
      <c r="AG100" s="325"/>
      <c r="AI100" s="325"/>
      <c r="AK100" s="325"/>
      <c r="AM100" s="325"/>
      <c r="AO100" s="467"/>
    </row>
    <row r="101" spans="3:41" ht="27" customHeight="1">
      <c r="C101" s="325"/>
      <c r="E101" s="325"/>
      <c r="G101" s="325"/>
      <c r="I101" s="325"/>
      <c r="M101" s="325"/>
      <c r="O101" s="325"/>
      <c r="Q101" s="325"/>
      <c r="S101" s="325"/>
      <c r="U101" s="325"/>
      <c r="W101" s="325"/>
      <c r="Y101" s="325"/>
      <c r="AA101" s="325"/>
      <c r="AC101" s="325"/>
      <c r="AE101" s="325"/>
      <c r="AG101" s="325"/>
      <c r="AI101" s="325"/>
      <c r="AK101" s="325"/>
      <c r="AM101" s="325"/>
      <c r="AO101" s="467"/>
    </row>
    <row r="102" spans="3:41" ht="69" customHeight="1">
      <c r="C102" s="325"/>
      <c r="E102" s="325"/>
      <c r="G102" s="325"/>
      <c r="I102" s="325"/>
      <c r="M102" s="325"/>
      <c r="O102" s="325"/>
      <c r="Q102" s="325"/>
      <c r="S102" s="325"/>
      <c r="U102" s="325"/>
      <c r="W102" s="325"/>
      <c r="Y102" s="325"/>
      <c r="AA102" s="325"/>
      <c r="AC102" s="325"/>
      <c r="AE102" s="325"/>
      <c r="AG102" s="325"/>
      <c r="AI102" s="325"/>
      <c r="AK102" s="325"/>
      <c r="AM102" s="325"/>
      <c r="AO102" s="467"/>
    </row>
    <row r="103" spans="3:41" ht="21.75" customHeight="1">
      <c r="C103" s="325"/>
      <c r="E103" s="325"/>
      <c r="G103" s="325"/>
      <c r="I103" s="325"/>
      <c r="M103" s="325"/>
      <c r="O103" s="325"/>
      <c r="Q103" s="325"/>
      <c r="S103" s="325"/>
      <c r="U103" s="325"/>
      <c r="W103" s="325"/>
      <c r="Y103" s="325"/>
      <c r="AA103" s="325"/>
      <c r="AC103" s="325"/>
      <c r="AE103" s="325"/>
      <c r="AG103" s="325"/>
      <c r="AI103" s="325"/>
      <c r="AK103" s="325"/>
      <c r="AM103" s="325"/>
      <c r="AO103" s="467"/>
    </row>
    <row r="104" spans="3:41" ht="26.25" customHeight="1">
      <c r="C104" s="325"/>
      <c r="E104" s="325"/>
      <c r="G104" s="325"/>
      <c r="I104" s="325"/>
      <c r="M104" s="325"/>
      <c r="O104" s="325"/>
      <c r="Q104" s="325"/>
      <c r="S104" s="325"/>
      <c r="U104" s="325"/>
      <c r="W104" s="325"/>
      <c r="Y104" s="325"/>
      <c r="AA104" s="325"/>
      <c r="AC104" s="325"/>
      <c r="AE104" s="325"/>
      <c r="AG104" s="325"/>
      <c r="AI104" s="325"/>
      <c r="AK104" s="325"/>
      <c r="AM104" s="325"/>
      <c r="AO104" s="467"/>
    </row>
    <row r="105" spans="3:41" ht="20.25" customHeight="1">
      <c r="C105" s="325"/>
      <c r="E105" s="325"/>
      <c r="G105" s="325"/>
      <c r="I105" s="325"/>
      <c r="M105" s="325"/>
      <c r="O105" s="325"/>
      <c r="Q105" s="325"/>
      <c r="S105" s="325"/>
      <c r="U105" s="325"/>
      <c r="W105" s="325"/>
      <c r="Y105" s="325"/>
      <c r="AA105" s="325"/>
      <c r="AC105" s="325"/>
      <c r="AE105" s="325"/>
      <c r="AG105" s="325"/>
      <c r="AI105" s="325"/>
      <c r="AK105" s="325"/>
      <c r="AM105" s="325"/>
      <c r="AO105" s="467"/>
    </row>
    <row r="106" spans="3:41" ht="20.25" customHeight="1">
      <c r="C106" s="325"/>
      <c r="E106" s="325"/>
      <c r="G106" s="325"/>
      <c r="I106" s="325"/>
      <c r="M106" s="325"/>
      <c r="O106" s="325"/>
      <c r="Q106" s="325"/>
      <c r="S106" s="325"/>
      <c r="U106" s="325"/>
      <c r="W106" s="325"/>
      <c r="Y106" s="325"/>
      <c r="AA106" s="325"/>
      <c r="AC106" s="325"/>
      <c r="AE106" s="325"/>
      <c r="AG106" s="325"/>
      <c r="AI106" s="325"/>
      <c r="AK106" s="325"/>
      <c r="AM106" s="325"/>
      <c r="AO106" s="467"/>
    </row>
    <row r="107" spans="3:41" s="135" customFormat="1" ht="20.25" customHeight="1">
      <c r="C107" s="360"/>
      <c r="E107" s="360"/>
      <c r="G107" s="360"/>
      <c r="I107" s="360"/>
      <c r="M107" s="360"/>
      <c r="O107" s="360"/>
      <c r="Q107" s="360"/>
      <c r="S107" s="360"/>
      <c r="U107" s="360"/>
      <c r="W107" s="360"/>
      <c r="Y107" s="360"/>
      <c r="AA107" s="360"/>
      <c r="AC107" s="360"/>
      <c r="AE107" s="360"/>
      <c r="AG107" s="360"/>
      <c r="AI107" s="360"/>
      <c r="AK107" s="360"/>
      <c r="AM107" s="360"/>
      <c r="AO107" s="1058"/>
    </row>
    <row r="108" spans="3:41" s="135" customFormat="1" ht="20.25" customHeight="1">
      <c r="C108" s="360"/>
      <c r="E108" s="360"/>
      <c r="G108" s="360"/>
      <c r="I108" s="360"/>
      <c r="M108" s="360"/>
      <c r="O108" s="360"/>
      <c r="Q108" s="360"/>
      <c r="S108" s="360"/>
      <c r="U108" s="360"/>
      <c r="W108" s="360"/>
      <c r="Y108" s="360"/>
      <c r="AA108" s="360"/>
      <c r="AC108" s="360"/>
      <c r="AE108" s="360"/>
      <c r="AG108" s="360"/>
      <c r="AI108" s="360"/>
      <c r="AK108" s="360"/>
      <c r="AM108" s="360"/>
      <c r="AO108" s="1058"/>
    </row>
    <row r="109" spans="3:41" s="135" customFormat="1" ht="20.25" customHeight="1">
      <c r="C109" s="360"/>
      <c r="E109" s="360"/>
      <c r="G109" s="360"/>
      <c r="I109" s="360"/>
      <c r="M109" s="360"/>
      <c r="O109" s="360"/>
      <c r="Q109" s="360"/>
      <c r="S109" s="360"/>
      <c r="U109" s="360"/>
      <c r="W109" s="360"/>
      <c r="Y109" s="360"/>
      <c r="AA109" s="360"/>
      <c r="AC109" s="360"/>
      <c r="AE109" s="360"/>
      <c r="AG109" s="360"/>
      <c r="AI109" s="360"/>
      <c r="AK109" s="360"/>
      <c r="AM109" s="360"/>
      <c r="AO109" s="1058"/>
    </row>
    <row r="110" spans="3:41" s="135" customFormat="1" ht="20.25" customHeight="1">
      <c r="C110" s="360"/>
      <c r="E110" s="360"/>
      <c r="G110" s="360"/>
      <c r="I110" s="360"/>
      <c r="M110" s="360"/>
      <c r="O110" s="360"/>
      <c r="Q110" s="360"/>
      <c r="S110" s="360"/>
      <c r="U110" s="360"/>
      <c r="W110" s="360"/>
      <c r="Y110" s="360"/>
      <c r="AA110" s="360"/>
      <c r="AC110" s="360"/>
      <c r="AE110" s="360"/>
      <c r="AG110" s="360"/>
      <c r="AI110" s="360"/>
      <c r="AK110" s="360"/>
      <c r="AM110" s="360"/>
      <c r="AO110" s="1058"/>
    </row>
    <row r="111" spans="3:41" s="135" customFormat="1" ht="20.25" customHeight="1">
      <c r="C111" s="360"/>
      <c r="E111" s="360"/>
      <c r="G111" s="360"/>
      <c r="I111" s="360"/>
      <c r="M111" s="360"/>
      <c r="O111" s="360"/>
      <c r="Q111" s="360"/>
      <c r="S111" s="360"/>
      <c r="U111" s="360"/>
      <c r="W111" s="360"/>
      <c r="Y111" s="360"/>
      <c r="AA111" s="360"/>
      <c r="AC111" s="360"/>
      <c r="AE111" s="360"/>
      <c r="AG111" s="360"/>
      <c r="AI111" s="360"/>
      <c r="AK111" s="360"/>
      <c r="AM111" s="360"/>
      <c r="AO111" s="1058"/>
    </row>
    <row r="112" spans="3:41" s="135" customFormat="1" ht="24" customHeight="1">
      <c r="C112" s="360"/>
      <c r="E112" s="360"/>
      <c r="G112" s="360"/>
      <c r="I112" s="360"/>
      <c r="M112" s="360"/>
      <c r="O112" s="360"/>
      <c r="Q112" s="360"/>
      <c r="S112" s="360"/>
      <c r="U112" s="360"/>
      <c r="W112" s="360"/>
      <c r="Y112" s="360"/>
      <c r="AA112" s="360"/>
      <c r="AC112" s="360"/>
      <c r="AE112" s="360"/>
      <c r="AG112" s="360"/>
      <c r="AI112" s="360"/>
      <c r="AK112" s="360"/>
      <c r="AM112" s="360"/>
      <c r="AO112" s="1058"/>
    </row>
    <row r="113" spans="3:41" s="135" customFormat="1" ht="12.75">
      <c r="C113" s="360"/>
      <c r="E113" s="360"/>
      <c r="G113" s="360"/>
      <c r="I113" s="360"/>
      <c r="M113" s="360"/>
      <c r="O113" s="360"/>
      <c r="Q113" s="360"/>
      <c r="S113" s="360"/>
      <c r="U113" s="360"/>
      <c r="W113" s="360"/>
      <c r="Y113" s="360"/>
      <c r="AA113" s="360"/>
      <c r="AC113" s="360"/>
      <c r="AE113" s="360"/>
      <c r="AG113" s="360"/>
      <c r="AI113" s="360"/>
      <c r="AK113" s="360"/>
      <c r="AM113" s="360"/>
      <c r="AO113" s="1058"/>
    </row>
    <row r="114" spans="3:41" s="135" customFormat="1" ht="12.75">
      <c r="C114" s="360"/>
      <c r="E114" s="360"/>
      <c r="G114" s="360"/>
      <c r="I114" s="360"/>
      <c r="M114" s="360"/>
      <c r="O114" s="360"/>
      <c r="Q114" s="360"/>
      <c r="S114" s="360"/>
      <c r="U114" s="360"/>
      <c r="W114" s="360"/>
      <c r="Y114" s="360"/>
      <c r="AA114" s="360"/>
      <c r="AC114" s="360"/>
      <c r="AE114" s="360"/>
      <c r="AG114" s="360"/>
      <c r="AI114" s="360"/>
      <c r="AK114" s="360"/>
      <c r="AM114" s="360"/>
      <c r="AO114" s="1058"/>
    </row>
    <row r="115" spans="3:41" s="135" customFormat="1" ht="69" customHeight="1">
      <c r="C115" s="360"/>
      <c r="E115" s="360"/>
      <c r="G115" s="360"/>
      <c r="I115" s="360"/>
      <c r="M115" s="360"/>
      <c r="O115" s="360"/>
      <c r="Q115" s="360"/>
      <c r="S115" s="360"/>
      <c r="U115" s="360"/>
      <c r="W115" s="360"/>
      <c r="Y115" s="360"/>
      <c r="AA115" s="360"/>
      <c r="AC115" s="360"/>
      <c r="AE115" s="360"/>
      <c r="AG115" s="360"/>
      <c r="AI115" s="360"/>
      <c r="AK115" s="360"/>
      <c r="AM115" s="360"/>
      <c r="AO115" s="1058"/>
    </row>
    <row r="116" spans="3:41" s="135" customFormat="1" ht="21.75" customHeight="1">
      <c r="C116" s="360"/>
      <c r="E116" s="360"/>
      <c r="G116" s="360"/>
      <c r="I116" s="360"/>
      <c r="M116" s="360"/>
      <c r="O116" s="360"/>
      <c r="Q116" s="360"/>
      <c r="S116" s="360"/>
      <c r="U116" s="360"/>
      <c r="W116" s="360"/>
      <c r="Y116" s="360"/>
      <c r="AA116" s="360"/>
      <c r="AC116" s="360"/>
      <c r="AE116" s="360"/>
      <c r="AG116" s="360"/>
      <c r="AI116" s="360"/>
      <c r="AK116" s="360"/>
      <c r="AM116" s="360"/>
      <c r="AO116" s="1058"/>
    </row>
    <row r="117" spans="3:41" s="135" customFormat="1" ht="27" customHeight="1">
      <c r="C117" s="360"/>
      <c r="E117" s="360"/>
      <c r="G117" s="360"/>
      <c r="I117" s="360"/>
      <c r="M117" s="360"/>
      <c r="O117" s="360"/>
      <c r="Q117" s="360"/>
      <c r="S117" s="360"/>
      <c r="U117" s="360"/>
      <c r="W117" s="360"/>
      <c r="Y117" s="360"/>
      <c r="AA117" s="360"/>
      <c r="AC117" s="360"/>
      <c r="AE117" s="360"/>
      <c r="AG117" s="360"/>
      <c r="AI117" s="360"/>
      <c r="AK117" s="360"/>
      <c r="AM117" s="360"/>
      <c r="AO117" s="1058"/>
    </row>
    <row r="118" spans="3:41" s="135" customFormat="1" ht="21" customHeight="1">
      <c r="C118" s="360"/>
      <c r="E118" s="360"/>
      <c r="G118" s="360"/>
      <c r="I118" s="360"/>
      <c r="M118" s="360"/>
      <c r="O118" s="360"/>
      <c r="Q118" s="360"/>
      <c r="S118" s="360"/>
      <c r="U118" s="360"/>
      <c r="W118" s="360"/>
      <c r="Y118" s="360"/>
      <c r="AA118" s="360"/>
      <c r="AC118" s="360"/>
      <c r="AE118" s="360"/>
      <c r="AG118" s="360"/>
      <c r="AI118" s="360"/>
      <c r="AK118" s="360"/>
      <c r="AM118" s="360"/>
      <c r="AO118" s="1058"/>
    </row>
    <row r="119" spans="3:41" s="135" customFormat="1" ht="20.25" customHeight="1">
      <c r="C119" s="360"/>
      <c r="E119" s="360"/>
      <c r="G119" s="360"/>
      <c r="I119" s="360"/>
      <c r="M119" s="360"/>
      <c r="O119" s="360"/>
      <c r="Q119" s="360"/>
      <c r="S119" s="360"/>
      <c r="U119" s="360"/>
      <c r="W119" s="360"/>
      <c r="Y119" s="360"/>
      <c r="AA119" s="360"/>
      <c r="AC119" s="360"/>
      <c r="AE119" s="360"/>
      <c r="AG119" s="360"/>
      <c r="AI119" s="360"/>
      <c r="AK119" s="360"/>
      <c r="AM119" s="360"/>
      <c r="AO119" s="1058"/>
    </row>
    <row r="120" spans="3:41" s="135" customFormat="1" ht="20.25" customHeight="1">
      <c r="C120" s="360"/>
      <c r="E120" s="360"/>
      <c r="G120" s="360"/>
      <c r="I120" s="360"/>
      <c r="M120" s="360"/>
      <c r="O120" s="360"/>
      <c r="Q120" s="360"/>
      <c r="S120" s="360"/>
      <c r="U120" s="360"/>
      <c r="W120" s="360"/>
      <c r="Y120" s="360"/>
      <c r="AA120" s="360"/>
      <c r="AC120" s="360"/>
      <c r="AE120" s="360"/>
      <c r="AG120" s="360"/>
      <c r="AI120" s="360"/>
      <c r="AK120" s="360"/>
      <c r="AM120" s="360"/>
      <c r="AO120" s="1058"/>
    </row>
    <row r="121" spans="3:41" s="135" customFormat="1" ht="20.25" customHeight="1">
      <c r="C121" s="360"/>
      <c r="E121" s="360"/>
      <c r="G121" s="360"/>
      <c r="I121" s="360"/>
      <c r="M121" s="360"/>
      <c r="O121" s="360"/>
      <c r="Q121" s="360"/>
      <c r="S121" s="360"/>
      <c r="U121" s="360"/>
      <c r="W121" s="360"/>
      <c r="Y121" s="360"/>
      <c r="AA121" s="360"/>
      <c r="AC121" s="360"/>
      <c r="AE121" s="360"/>
      <c r="AG121" s="360"/>
      <c r="AI121" s="360"/>
      <c r="AK121" s="360"/>
      <c r="AM121" s="360"/>
      <c r="AO121" s="1058"/>
    </row>
    <row r="122" spans="3:41" s="135" customFormat="1" ht="20.25" customHeight="1">
      <c r="C122" s="360"/>
      <c r="E122" s="360"/>
      <c r="G122" s="360"/>
      <c r="I122" s="360"/>
      <c r="M122" s="360"/>
      <c r="O122" s="360"/>
      <c r="Q122" s="360"/>
      <c r="S122" s="360"/>
      <c r="U122" s="360"/>
      <c r="W122" s="360"/>
      <c r="Y122" s="360"/>
      <c r="AA122" s="360"/>
      <c r="AC122" s="360"/>
      <c r="AE122" s="360"/>
      <c r="AG122" s="360"/>
      <c r="AI122" s="360"/>
      <c r="AK122" s="360"/>
      <c r="AM122" s="360"/>
      <c r="AO122" s="1058"/>
    </row>
    <row r="123" spans="3:41" s="135" customFormat="1" ht="21.75" customHeight="1">
      <c r="C123" s="360"/>
      <c r="E123" s="360"/>
      <c r="G123" s="360"/>
      <c r="I123" s="360"/>
      <c r="M123" s="360"/>
      <c r="O123" s="360"/>
      <c r="Q123" s="360"/>
      <c r="S123" s="360"/>
      <c r="U123" s="360"/>
      <c r="W123" s="360"/>
      <c r="Y123" s="360"/>
      <c r="AA123" s="360"/>
      <c r="AC123" s="360"/>
      <c r="AE123" s="360"/>
      <c r="AG123" s="360"/>
      <c r="AI123" s="360"/>
      <c r="AK123" s="360"/>
      <c r="AM123" s="360"/>
      <c r="AO123" s="1058"/>
    </row>
    <row r="124" spans="3:41" s="135" customFormat="1" ht="20.25" customHeight="1">
      <c r="C124" s="360"/>
      <c r="E124" s="360"/>
      <c r="G124" s="360"/>
      <c r="I124" s="360"/>
      <c r="M124" s="360"/>
      <c r="O124" s="360"/>
      <c r="Q124" s="360"/>
      <c r="S124" s="360"/>
      <c r="U124" s="360"/>
      <c r="W124" s="360"/>
      <c r="Y124" s="360"/>
      <c r="AA124" s="360"/>
      <c r="AC124" s="360"/>
      <c r="AE124" s="360"/>
      <c r="AG124" s="360"/>
      <c r="AI124" s="360"/>
      <c r="AK124" s="360"/>
      <c r="AM124" s="360"/>
      <c r="AO124" s="1058"/>
    </row>
    <row r="125" spans="3:41" s="135" customFormat="1" ht="24" customHeight="1">
      <c r="C125" s="360"/>
      <c r="E125" s="360"/>
      <c r="G125" s="360"/>
      <c r="I125" s="360"/>
      <c r="M125" s="360"/>
      <c r="O125" s="360"/>
      <c r="Q125" s="360"/>
      <c r="S125" s="360"/>
      <c r="U125" s="360"/>
      <c r="W125" s="360"/>
      <c r="Y125" s="360"/>
      <c r="AA125" s="360"/>
      <c r="AC125" s="360"/>
      <c r="AE125" s="360"/>
      <c r="AG125" s="360"/>
      <c r="AI125" s="360"/>
      <c r="AK125" s="360"/>
      <c r="AM125" s="360"/>
      <c r="AO125" s="1058"/>
    </row>
    <row r="126" spans="3:41" s="135" customFormat="1" ht="12.75">
      <c r="C126" s="360"/>
      <c r="E126" s="360"/>
      <c r="G126" s="360"/>
      <c r="I126" s="360"/>
      <c r="M126" s="360"/>
      <c r="O126" s="360"/>
      <c r="Q126" s="360"/>
      <c r="S126" s="360"/>
      <c r="U126" s="360"/>
      <c r="W126" s="360"/>
      <c r="Y126" s="360"/>
      <c r="AA126" s="360"/>
      <c r="AC126" s="360"/>
      <c r="AE126" s="360"/>
      <c r="AG126" s="360"/>
      <c r="AI126" s="360"/>
      <c r="AK126" s="360"/>
      <c r="AM126" s="360"/>
      <c r="AO126" s="1058"/>
    </row>
    <row r="127" spans="3:41" s="135" customFormat="1" ht="12.75">
      <c r="C127" s="360"/>
      <c r="E127" s="360"/>
      <c r="G127" s="360"/>
      <c r="I127" s="360"/>
      <c r="M127" s="360"/>
      <c r="O127" s="360"/>
      <c r="Q127" s="360"/>
      <c r="S127" s="360"/>
      <c r="U127" s="360"/>
      <c r="W127" s="360"/>
      <c r="Y127" s="360"/>
      <c r="AA127" s="360"/>
      <c r="AC127" s="360"/>
      <c r="AE127" s="360"/>
      <c r="AG127" s="360"/>
      <c r="AI127" s="360"/>
      <c r="AK127" s="360"/>
      <c r="AM127" s="360"/>
      <c r="AO127" s="1058"/>
    </row>
  </sheetData>
  <sheetProtection/>
  <mergeCells count="21">
    <mergeCell ref="D2:E2"/>
    <mergeCell ref="Z2:AA2"/>
    <mergeCell ref="J2:K2"/>
    <mergeCell ref="X2:Y2"/>
    <mergeCell ref="AN2:AO2"/>
    <mergeCell ref="AH2:AI2"/>
    <mergeCell ref="AF2:AG2"/>
    <mergeCell ref="AJ2:AK2"/>
    <mergeCell ref="AD2:AE2"/>
    <mergeCell ref="AB2:AC2"/>
    <mergeCell ref="AL2:AM2"/>
    <mergeCell ref="A2:A3"/>
    <mergeCell ref="B2:C2"/>
    <mergeCell ref="T2:U2"/>
    <mergeCell ref="V2:W2"/>
    <mergeCell ref="L2:M2"/>
    <mergeCell ref="F2:G2"/>
    <mergeCell ref="H2:I2"/>
    <mergeCell ref="N2:O2"/>
    <mergeCell ref="P2:Q2"/>
    <mergeCell ref="R2:S2"/>
  </mergeCells>
  <printOptions/>
  <pageMargins left="0" right="0.07874015748031496" top="0.7874015748031497" bottom="0.2362204724409449" header="0.5511811023622047" footer="0.5118110236220472"/>
  <pageSetup horizontalDpi="600" verticalDpi="600" orientation="landscape" paperSize="9" scale="95" r:id="rId1"/>
  <headerFooter alignWithMargins="0">
    <oddHeader>&amp;L&amp;"Arial,Bold"&amp;9ตารางที่ 4 : รายละเอียดทุนตามคำขอภายใต้ความร่วมมือทวิภาคีรายประเทศ แยกตามสาขา ประจำปี 2555                               &amp;7(หน่วย : จำนวน = คน, มูลค่า = พันบาท)
</oddHeader>
  </headerFooter>
</worksheet>
</file>

<file path=xl/worksheets/sheet5.xml><?xml version="1.0" encoding="utf-8"?>
<worksheet xmlns="http://schemas.openxmlformats.org/spreadsheetml/2006/main" xmlns:r="http://schemas.openxmlformats.org/officeDocument/2006/relationships">
  <sheetPr>
    <tabColor indexed="14"/>
  </sheetPr>
  <dimension ref="A1:L109"/>
  <sheetViews>
    <sheetView zoomScalePageLayoutView="0" workbookViewId="0" topLeftCell="A1">
      <pane xSplit="3" ySplit="3" topLeftCell="D94" activePane="bottomRight" state="frozen"/>
      <selection pane="topLeft" activeCell="A1" sqref="A1"/>
      <selection pane="topRight" activeCell="D1" sqref="D1"/>
      <selection pane="bottomLeft" activeCell="A4" sqref="A4"/>
      <selection pane="bottomRight" activeCell="A109" sqref="A109"/>
    </sheetView>
  </sheetViews>
  <sheetFormatPr defaultColWidth="9.140625" defaultRowHeight="12.75"/>
  <cols>
    <col min="1" max="1" width="19.421875" style="307" customWidth="1"/>
    <col min="2" max="2" width="3.140625" style="260" customWidth="1"/>
    <col min="3" max="3" width="53.57421875" style="307" customWidth="1"/>
    <col min="4" max="4" width="5.00390625" style="662" customWidth="1"/>
    <col min="5" max="5" width="9.28125" style="646" customWidth="1"/>
    <col min="6" max="6" width="4.421875" style="662" customWidth="1"/>
    <col min="7" max="7" width="9.28125" style="646" customWidth="1"/>
    <col min="8" max="8" width="4.8515625" style="663" customWidth="1"/>
    <col min="9" max="9" width="9.140625" style="646" customWidth="1"/>
    <col min="10" max="10" width="9.00390625" style="646" customWidth="1"/>
    <col min="11" max="11" width="9.57421875" style="646" customWidth="1"/>
    <col min="12" max="12" width="10.00390625" style="646" customWidth="1"/>
    <col min="13" max="16384" width="9.140625" style="307" customWidth="1"/>
  </cols>
  <sheetData>
    <row r="1" spans="1:11" ht="23.25" thickBot="1">
      <c r="A1" s="617" t="s">
        <v>527</v>
      </c>
      <c r="B1" s="689"/>
      <c r="C1" s="644"/>
      <c r="D1" s="590"/>
      <c r="E1" s="589"/>
      <c r="F1" s="590"/>
      <c r="G1" s="589"/>
      <c r="H1" s="645"/>
      <c r="J1" s="583" t="s">
        <v>483</v>
      </c>
      <c r="K1" s="480"/>
    </row>
    <row r="2" spans="1:12" s="664" customFormat="1" ht="22.5" thickBot="1">
      <c r="A2" s="1177" t="s">
        <v>473</v>
      </c>
      <c r="B2" s="1179"/>
      <c r="C2" s="1177" t="s">
        <v>510</v>
      </c>
      <c r="D2" s="1182" t="s">
        <v>514</v>
      </c>
      <c r="E2" s="1183"/>
      <c r="F2" s="1172" t="s">
        <v>515</v>
      </c>
      <c r="G2" s="1172"/>
      <c r="H2" s="1171" t="s">
        <v>528</v>
      </c>
      <c r="I2" s="1172"/>
      <c r="J2" s="1173" t="s">
        <v>529</v>
      </c>
      <c r="K2" s="1175" t="s">
        <v>513</v>
      </c>
      <c r="L2" s="1175" t="s">
        <v>481</v>
      </c>
    </row>
    <row r="3" spans="1:12" s="664" customFormat="1" ht="29.25" customHeight="1" thickBot="1">
      <c r="A3" s="1178"/>
      <c r="B3" s="1180"/>
      <c r="C3" s="1181"/>
      <c r="D3" s="1110" t="s">
        <v>474</v>
      </c>
      <c r="E3" s="1111" t="s">
        <v>475</v>
      </c>
      <c r="F3" s="1110" t="s">
        <v>474</v>
      </c>
      <c r="G3" s="1111" t="s">
        <v>475</v>
      </c>
      <c r="H3" s="1110" t="s">
        <v>474</v>
      </c>
      <c r="I3" s="1111" t="s">
        <v>475</v>
      </c>
      <c r="J3" s="1174"/>
      <c r="K3" s="1176"/>
      <c r="L3" s="1176"/>
    </row>
    <row r="4" spans="1:12" s="664" customFormat="1" ht="21.75">
      <c r="A4" s="599" t="s">
        <v>128</v>
      </c>
      <c r="B4" s="692"/>
      <c r="C4" s="627" t="s">
        <v>81</v>
      </c>
      <c r="D4" s="666"/>
      <c r="E4" s="628"/>
      <c r="F4" s="666"/>
      <c r="G4" s="628"/>
      <c r="H4" s="667"/>
      <c r="I4" s="628"/>
      <c r="J4" s="628"/>
      <c r="K4" s="628"/>
      <c r="L4" s="628"/>
    </row>
    <row r="5" spans="1:12" s="650" customFormat="1" ht="47.25" customHeight="1">
      <c r="A5" s="600" t="s">
        <v>163</v>
      </c>
      <c r="B5" s="637">
        <v>1</v>
      </c>
      <c r="C5" s="651" t="s">
        <v>203</v>
      </c>
      <c r="D5" s="656">
        <v>14</v>
      </c>
      <c r="E5" s="609">
        <f>720.4*1.1</f>
        <v>792.44</v>
      </c>
      <c r="F5" s="656"/>
      <c r="G5" s="609"/>
      <c r="H5" s="657"/>
      <c r="I5" s="609"/>
      <c r="J5" s="609">
        <v>1243.8</v>
      </c>
      <c r="K5" s="649"/>
      <c r="L5" s="679">
        <f>SUM(E5,G5,I5,J5,K5)</f>
        <v>2036.24</v>
      </c>
    </row>
    <row r="6" spans="2:12" s="664" customFormat="1" ht="25.5" customHeight="1">
      <c r="B6" s="690"/>
      <c r="C6" s="627" t="s">
        <v>82</v>
      </c>
      <c r="D6" s="618"/>
      <c r="E6" s="619"/>
      <c r="F6" s="618"/>
      <c r="G6" s="619"/>
      <c r="H6" s="620"/>
      <c r="I6" s="619"/>
      <c r="J6" s="619"/>
      <c r="K6" s="619"/>
      <c r="L6" s="619"/>
    </row>
    <row r="7" spans="1:12" s="647" customFormat="1" ht="42.75" customHeight="1">
      <c r="A7" s="600" t="s">
        <v>268</v>
      </c>
      <c r="B7" s="631">
        <v>2</v>
      </c>
      <c r="C7" s="749" t="s">
        <v>267</v>
      </c>
      <c r="D7" s="632">
        <f>1+3+3+1+1+2</f>
        <v>11</v>
      </c>
      <c r="E7" s="633">
        <f>(207.6+287.6+250.8+290.2+208.7+267.1)*1.1</f>
        <v>1663.2</v>
      </c>
      <c r="F7" s="632">
        <v>1</v>
      </c>
      <c r="G7" s="633">
        <f>468.5*1.1</f>
        <v>515.35</v>
      </c>
      <c r="H7" s="648">
        <f>7+4</f>
        <v>11</v>
      </c>
      <c r="I7" s="649">
        <f>(457+293.2)*1.1</f>
        <v>825.2200000000001</v>
      </c>
      <c r="J7" s="649">
        <f>730+514.4</f>
        <v>1244.4</v>
      </c>
      <c r="K7" s="622" t="s">
        <v>3</v>
      </c>
      <c r="L7" s="649">
        <f>SUM(E7,G7,I7,J7,K7)</f>
        <v>4248.17</v>
      </c>
    </row>
    <row r="8" spans="1:12" s="647" customFormat="1" ht="25.5" customHeight="1">
      <c r="A8" s="600" t="s">
        <v>394</v>
      </c>
      <c r="B8" s="631">
        <v>3</v>
      </c>
      <c r="C8" s="749" t="s">
        <v>270</v>
      </c>
      <c r="D8" s="632"/>
      <c r="E8" s="633"/>
      <c r="F8" s="632"/>
      <c r="G8" s="633"/>
      <c r="H8" s="648">
        <v>10</v>
      </c>
      <c r="I8" s="649">
        <f>(61.1+81.7+502.2+484.2+970+218.3)*1.1</f>
        <v>2549.25</v>
      </c>
      <c r="J8" s="649"/>
      <c r="K8" s="622">
        <v>202.8</v>
      </c>
      <c r="L8" s="649">
        <f>SUM(E8,G8,I8,J8,K8)</f>
        <v>2752.05</v>
      </c>
    </row>
    <row r="9" spans="1:12" s="647" customFormat="1" ht="24" customHeight="1">
      <c r="A9" s="985" t="s">
        <v>395</v>
      </c>
      <c r="B9" s="637"/>
      <c r="C9" s="647" t="s">
        <v>384</v>
      </c>
      <c r="D9" s="652"/>
      <c r="E9" s="653"/>
      <c r="F9" s="652"/>
      <c r="G9" s="653"/>
      <c r="H9" s="654"/>
      <c r="I9" s="653"/>
      <c r="J9" s="653">
        <v>5</v>
      </c>
      <c r="K9" s="653"/>
      <c r="L9" s="649">
        <f>SUM(E9,G9,I9,J9,K9)</f>
        <v>5</v>
      </c>
    </row>
    <row r="10" spans="1:12" s="647" customFormat="1" ht="42" customHeight="1">
      <c r="A10" s="600" t="s">
        <v>163</v>
      </c>
      <c r="B10" s="631">
        <v>4</v>
      </c>
      <c r="C10" s="749" t="s">
        <v>269</v>
      </c>
      <c r="D10" s="632">
        <f>5+10</f>
        <v>15</v>
      </c>
      <c r="E10" s="633">
        <f>(223.6+926.4)*1.1</f>
        <v>1265</v>
      </c>
      <c r="F10" s="632"/>
      <c r="G10" s="633"/>
      <c r="H10" s="648">
        <v>4</v>
      </c>
      <c r="I10" s="649">
        <f>374*1.1</f>
        <v>411.40000000000003</v>
      </c>
      <c r="J10" s="649"/>
      <c r="K10" s="622" t="s">
        <v>3</v>
      </c>
      <c r="L10" s="649">
        <f>SUM(E10,G10,I10,J10,K10)</f>
        <v>1676.4</v>
      </c>
    </row>
    <row r="11" spans="1:12" s="664" customFormat="1" ht="25.5" customHeight="1">
      <c r="A11" s="665"/>
      <c r="B11" s="691"/>
      <c r="C11" s="623" t="s">
        <v>481</v>
      </c>
      <c r="D11" s="625">
        <f aca="true" t="shared" si="0" ref="D11:L11">SUM(D5:D10)</f>
        <v>40</v>
      </c>
      <c r="E11" s="624">
        <f t="shared" si="0"/>
        <v>3720.6400000000003</v>
      </c>
      <c r="F11" s="625">
        <f t="shared" si="0"/>
        <v>1</v>
      </c>
      <c r="G11" s="624">
        <f t="shared" si="0"/>
        <v>515.35</v>
      </c>
      <c r="H11" s="625">
        <f t="shared" si="0"/>
        <v>25</v>
      </c>
      <c r="I11" s="624">
        <f t="shared" si="0"/>
        <v>3785.8700000000003</v>
      </c>
      <c r="J11" s="624">
        <f t="shared" si="0"/>
        <v>2493.2</v>
      </c>
      <c r="K11" s="624">
        <f t="shared" si="0"/>
        <v>202.8</v>
      </c>
      <c r="L11" s="624">
        <f t="shared" si="0"/>
        <v>10717.859999999999</v>
      </c>
    </row>
    <row r="12" spans="1:12" s="664" customFormat="1" ht="21.75">
      <c r="A12" s="599" t="s">
        <v>398</v>
      </c>
      <c r="B12" s="692"/>
      <c r="C12" s="627" t="s">
        <v>82</v>
      </c>
      <c r="D12" s="666"/>
      <c r="E12" s="628"/>
      <c r="F12" s="666"/>
      <c r="G12" s="628"/>
      <c r="H12" s="667"/>
      <c r="I12" s="628"/>
      <c r="J12" s="628"/>
      <c r="K12" s="628"/>
      <c r="L12" s="628"/>
    </row>
    <row r="13" spans="1:12" s="650" customFormat="1" ht="43.5" customHeight="1">
      <c r="A13" s="600" t="s">
        <v>119</v>
      </c>
      <c r="B13" s="637">
        <v>5</v>
      </c>
      <c r="C13" s="651" t="s">
        <v>377</v>
      </c>
      <c r="D13" s="656">
        <v>5</v>
      </c>
      <c r="E13" s="609">
        <f>596.3*1.1</f>
        <v>655.93</v>
      </c>
      <c r="F13" s="656"/>
      <c r="G13" s="609"/>
      <c r="H13" s="657"/>
      <c r="I13" s="609"/>
      <c r="J13" s="609"/>
      <c r="K13" s="649"/>
      <c r="L13" s="679">
        <f>SUM(E13,G13,I13,J13,K13)</f>
        <v>655.93</v>
      </c>
    </row>
    <row r="14" spans="1:12" s="616" customFormat="1" ht="27.75" customHeight="1">
      <c r="A14" s="608" t="s">
        <v>372</v>
      </c>
      <c r="B14" s="611">
        <v>6</v>
      </c>
      <c r="C14" s="612" t="s">
        <v>373</v>
      </c>
      <c r="D14" s="613"/>
      <c r="E14" s="614"/>
      <c r="F14" s="613"/>
      <c r="G14" s="614"/>
      <c r="H14" s="615">
        <v>5</v>
      </c>
      <c r="I14" s="614">
        <v>422.5</v>
      </c>
      <c r="J14" s="614"/>
      <c r="K14" s="678"/>
      <c r="L14" s="679">
        <f>SUM(E14,G14,I14,J14,K14)</f>
        <v>422.5</v>
      </c>
    </row>
    <row r="15" spans="1:12" s="664" customFormat="1" ht="26.25" customHeight="1">
      <c r="A15" s="668"/>
      <c r="B15" s="693"/>
      <c r="C15" s="629" t="s">
        <v>481</v>
      </c>
      <c r="D15" s="903">
        <f>SUM(D13:D14)</f>
        <v>5</v>
      </c>
      <c r="E15" s="630">
        <f aca="true" t="shared" si="1" ref="E15:L15">SUM(E13:E14)</f>
        <v>655.93</v>
      </c>
      <c r="F15" s="630">
        <f t="shared" si="1"/>
        <v>0</v>
      </c>
      <c r="G15" s="630">
        <f t="shared" si="1"/>
        <v>0</v>
      </c>
      <c r="H15" s="903">
        <f t="shared" si="1"/>
        <v>5</v>
      </c>
      <c r="I15" s="630">
        <f t="shared" si="1"/>
        <v>422.5</v>
      </c>
      <c r="J15" s="630">
        <f t="shared" si="1"/>
        <v>0</v>
      </c>
      <c r="K15" s="630">
        <f t="shared" si="1"/>
        <v>0</v>
      </c>
      <c r="L15" s="624">
        <f t="shared" si="1"/>
        <v>1078.4299999999998</v>
      </c>
    </row>
    <row r="16" spans="1:12" s="664" customFormat="1" ht="21.75">
      <c r="A16" s="599" t="s">
        <v>186</v>
      </c>
      <c r="B16" s="692"/>
      <c r="C16" s="627" t="s">
        <v>82</v>
      </c>
      <c r="D16" s="666"/>
      <c r="E16" s="628"/>
      <c r="F16" s="666"/>
      <c r="G16" s="628"/>
      <c r="H16" s="667"/>
      <c r="I16" s="628"/>
      <c r="J16" s="628"/>
      <c r="K16" s="628"/>
      <c r="L16" s="628"/>
    </row>
    <row r="17" spans="1:12" s="647" customFormat="1" ht="39.75" customHeight="1">
      <c r="A17" s="600" t="s">
        <v>163</v>
      </c>
      <c r="B17" s="631">
        <v>7</v>
      </c>
      <c r="C17" s="749" t="s">
        <v>187</v>
      </c>
      <c r="D17" s="632" t="s">
        <v>3</v>
      </c>
      <c r="E17" s="633" t="s">
        <v>3</v>
      </c>
      <c r="F17" s="632" t="s">
        <v>3</v>
      </c>
      <c r="G17" s="633" t="s">
        <v>3</v>
      </c>
      <c r="H17" s="648"/>
      <c r="I17" s="649"/>
      <c r="J17" s="649">
        <v>568.7</v>
      </c>
      <c r="K17" s="622" t="s">
        <v>3</v>
      </c>
      <c r="L17" s="649">
        <f>SUM(E17,G17,I17,J17,K17)</f>
        <v>568.7</v>
      </c>
    </row>
    <row r="18" spans="1:12" s="664" customFormat="1" ht="25.5" customHeight="1">
      <c r="A18" s="665"/>
      <c r="B18" s="691"/>
      <c r="C18" s="623" t="s">
        <v>481</v>
      </c>
      <c r="D18" s="624">
        <f>SUM(D17)</f>
        <v>0</v>
      </c>
      <c r="E18" s="624">
        <f>SUM(E17)</f>
        <v>0</v>
      </c>
      <c r="F18" s="624">
        <f>SUM(F17)</f>
        <v>0</v>
      </c>
      <c r="G18" s="624">
        <f>SUM(G17)</f>
        <v>0</v>
      </c>
      <c r="H18" s="625">
        <f>SUM(H17:H17)</f>
        <v>0</v>
      </c>
      <c r="I18" s="624">
        <f>SUM(I17:I17)</f>
        <v>0</v>
      </c>
      <c r="J18" s="624">
        <f>SUM(J17:J17)</f>
        <v>568.7</v>
      </c>
      <c r="K18" s="626">
        <f>SUM(K17:K17)</f>
        <v>0</v>
      </c>
      <c r="L18" s="624">
        <f>SUM(L17:L17)</f>
        <v>568.7</v>
      </c>
    </row>
    <row r="19" spans="1:12" s="664" customFormat="1" ht="21.75">
      <c r="A19" s="599" t="s">
        <v>80</v>
      </c>
      <c r="B19" s="692"/>
      <c r="C19" s="599" t="s">
        <v>81</v>
      </c>
      <c r="D19" s="669"/>
      <c r="E19" s="670"/>
      <c r="F19" s="669"/>
      <c r="G19" s="670"/>
      <c r="H19" s="671"/>
      <c r="I19" s="670"/>
      <c r="J19" s="670"/>
      <c r="K19" s="670"/>
      <c r="L19" s="634"/>
    </row>
    <row r="20" spans="1:12" s="650" customFormat="1" ht="42" customHeight="1">
      <c r="A20" s="601" t="s">
        <v>117</v>
      </c>
      <c r="B20" s="621">
        <v>8</v>
      </c>
      <c r="C20" s="600" t="s">
        <v>162</v>
      </c>
      <c r="D20" s="632"/>
      <c r="E20" s="633"/>
      <c r="F20" s="656" t="s">
        <v>3</v>
      </c>
      <c r="G20" s="609">
        <f>286.3*1.1</f>
        <v>314.93000000000006</v>
      </c>
      <c r="H20" s="635" t="s">
        <v>3</v>
      </c>
      <c r="I20" s="633" t="s">
        <v>3</v>
      </c>
      <c r="J20" s="633" t="s">
        <v>3</v>
      </c>
      <c r="K20" s="633"/>
      <c r="L20" s="649">
        <f>SUM(E20,G20,I20,J20,K20)</f>
        <v>314.93000000000006</v>
      </c>
    </row>
    <row r="21" spans="1:12" s="650" customFormat="1" ht="21">
      <c r="A21" s="600" t="s">
        <v>118</v>
      </c>
      <c r="B21" s="650">
        <v>9</v>
      </c>
      <c r="C21" s="650" t="s">
        <v>337</v>
      </c>
      <c r="K21" s="902">
        <v>25000</v>
      </c>
      <c r="L21" s="649">
        <f>SUM(E21,G21,I21,J21,K21)</f>
        <v>25000</v>
      </c>
    </row>
    <row r="22" spans="1:12" s="312" customFormat="1" ht="21">
      <c r="A22" s="600"/>
      <c r="B22" s="672"/>
      <c r="C22" s="627" t="s">
        <v>82</v>
      </c>
      <c r="D22" s="655"/>
      <c r="E22" s="649"/>
      <c r="F22" s="655"/>
      <c r="G22" s="649"/>
      <c r="H22" s="648"/>
      <c r="I22" s="649"/>
      <c r="J22" s="649"/>
      <c r="K22" s="649"/>
      <c r="L22" s="649"/>
    </row>
    <row r="23" spans="1:12" s="312" customFormat="1" ht="21">
      <c r="A23" s="601" t="s">
        <v>385</v>
      </c>
      <c r="B23" s="621">
        <v>10</v>
      </c>
      <c r="C23" s="607" t="s">
        <v>200</v>
      </c>
      <c r="D23" s="632">
        <f>2</f>
        <v>2</v>
      </c>
      <c r="E23" s="633">
        <f>157*1.1</f>
        <v>172.70000000000002</v>
      </c>
      <c r="F23" s="632"/>
      <c r="G23" s="633"/>
      <c r="H23" s="657">
        <f>1+2</f>
        <v>3</v>
      </c>
      <c r="I23" s="609">
        <f>44.5+234.3</f>
        <v>278.8</v>
      </c>
      <c r="J23" s="633"/>
      <c r="K23" s="633"/>
      <c r="L23" s="649">
        <f>SUM(E23,G23,I23,J23,K23)</f>
        <v>451.5</v>
      </c>
    </row>
    <row r="24" spans="1:12" s="312" customFormat="1" ht="21.75" customHeight="1">
      <c r="A24" s="638" t="s">
        <v>386</v>
      </c>
      <c r="B24" s="672">
        <v>11</v>
      </c>
      <c r="C24" s="312" t="s">
        <v>332</v>
      </c>
      <c r="D24" s="655"/>
      <c r="E24" s="649"/>
      <c r="F24" s="655"/>
      <c r="G24" s="649"/>
      <c r="H24" s="648">
        <v>3</v>
      </c>
      <c r="I24" s="649">
        <v>98.2</v>
      </c>
      <c r="J24" s="649">
        <v>1241.4</v>
      </c>
      <c r="K24" s="649"/>
      <c r="L24" s="649">
        <f>SUM(E24,G24,I24,J24,K24)</f>
        <v>1339.6000000000001</v>
      </c>
    </row>
    <row r="25" spans="1:12" s="312" customFormat="1" ht="42">
      <c r="A25" s="600" t="s">
        <v>271</v>
      </c>
      <c r="B25" s="672">
        <v>12</v>
      </c>
      <c r="C25" s="312" t="s">
        <v>333</v>
      </c>
      <c r="D25" s="655"/>
      <c r="E25" s="649"/>
      <c r="F25" s="655"/>
      <c r="G25" s="649"/>
      <c r="H25" s="648"/>
      <c r="I25" s="649"/>
      <c r="J25" s="649"/>
      <c r="K25" s="649">
        <f>800+82.5</f>
        <v>882.5</v>
      </c>
      <c r="L25" s="649">
        <f>SUM(E25,G25,I25,J25,K25)</f>
        <v>882.5</v>
      </c>
    </row>
    <row r="26" spans="1:12" s="312" customFormat="1" ht="19.5" customHeight="1">
      <c r="A26" s="600" t="s">
        <v>118</v>
      </c>
      <c r="B26" s="672">
        <v>13</v>
      </c>
      <c r="C26" s="312" t="s">
        <v>331</v>
      </c>
      <c r="D26" s="655"/>
      <c r="E26" s="649"/>
      <c r="F26" s="655"/>
      <c r="G26" s="649"/>
      <c r="H26" s="648"/>
      <c r="I26" s="649"/>
      <c r="J26" s="649"/>
      <c r="K26" s="649">
        <v>386.4</v>
      </c>
      <c r="L26" s="649">
        <f>SUM(E26,G26,I26,J26,K26)</f>
        <v>386.4</v>
      </c>
    </row>
    <row r="27" spans="1:12" s="312" customFormat="1" ht="39.75" customHeight="1">
      <c r="A27" s="600" t="s">
        <v>163</v>
      </c>
      <c r="B27" s="672">
        <v>14</v>
      </c>
      <c r="C27" s="312" t="s">
        <v>174</v>
      </c>
      <c r="D27" s="655">
        <v>9</v>
      </c>
      <c r="E27" s="649">
        <f>282*1.1</f>
        <v>310.20000000000005</v>
      </c>
      <c r="F27" s="655"/>
      <c r="G27" s="649"/>
      <c r="H27" s="648">
        <v>6</v>
      </c>
      <c r="I27" s="649">
        <v>176.2</v>
      </c>
      <c r="J27" s="649"/>
      <c r="K27" s="649"/>
      <c r="L27" s="649">
        <f>SUM(E27,G27,I27,J27,K27)</f>
        <v>486.40000000000003</v>
      </c>
    </row>
    <row r="28" spans="1:12" s="664" customFormat="1" ht="21.75">
      <c r="A28" s="665"/>
      <c r="B28" s="691"/>
      <c r="C28" s="623" t="s">
        <v>481</v>
      </c>
      <c r="D28" s="626">
        <f aca="true" t="shared" si="2" ref="D28:L28">SUM(D20:D27)</f>
        <v>11</v>
      </c>
      <c r="E28" s="624">
        <f t="shared" si="2"/>
        <v>482.9000000000001</v>
      </c>
      <c r="F28" s="626">
        <f t="shared" si="2"/>
        <v>0</v>
      </c>
      <c r="G28" s="624">
        <f t="shared" si="2"/>
        <v>314.93000000000006</v>
      </c>
      <c r="H28" s="625">
        <f t="shared" si="2"/>
        <v>12</v>
      </c>
      <c r="I28" s="624">
        <f t="shared" si="2"/>
        <v>553.2</v>
      </c>
      <c r="J28" s="624">
        <f t="shared" si="2"/>
        <v>1241.4</v>
      </c>
      <c r="K28" s="624">
        <f t="shared" si="2"/>
        <v>26268.9</v>
      </c>
      <c r="L28" s="624">
        <f t="shared" si="2"/>
        <v>28861.33</v>
      </c>
    </row>
    <row r="29" spans="1:12" s="664" customFormat="1" ht="21.75">
      <c r="A29" s="627" t="s">
        <v>170</v>
      </c>
      <c r="B29" s="690"/>
      <c r="C29" s="627" t="s">
        <v>81</v>
      </c>
      <c r="D29" s="618"/>
      <c r="E29" s="619"/>
      <c r="F29" s="618"/>
      <c r="G29" s="619"/>
      <c r="H29" s="620"/>
      <c r="I29" s="619"/>
      <c r="J29" s="619"/>
      <c r="K29" s="619"/>
      <c r="L29" s="628"/>
    </row>
    <row r="30" spans="1:12" s="647" customFormat="1" ht="42" customHeight="1">
      <c r="A30" s="600" t="s">
        <v>163</v>
      </c>
      <c r="B30" s="621">
        <v>15</v>
      </c>
      <c r="C30" s="612" t="s">
        <v>203</v>
      </c>
      <c r="D30" s="632">
        <v>19</v>
      </c>
      <c r="E30" s="633">
        <f>613.3*1.1</f>
        <v>674.63</v>
      </c>
      <c r="F30" s="632" t="s">
        <v>3</v>
      </c>
      <c r="G30" s="632" t="s">
        <v>3</v>
      </c>
      <c r="H30" s="635" t="s">
        <v>3</v>
      </c>
      <c r="I30" s="632" t="s">
        <v>3</v>
      </c>
      <c r="J30" s="622"/>
      <c r="K30" s="622"/>
      <c r="L30" s="649">
        <f>SUM(E30,G30,I30,J30,K30)</f>
        <v>674.63</v>
      </c>
    </row>
    <row r="31" spans="1:12" s="664" customFormat="1" ht="21.75">
      <c r="A31" s="665"/>
      <c r="B31" s="691"/>
      <c r="C31" s="623" t="s">
        <v>481</v>
      </c>
      <c r="D31" s="626">
        <f>SUM(D30)</f>
        <v>19</v>
      </c>
      <c r="E31" s="624">
        <f>SUM(E30)</f>
        <v>674.63</v>
      </c>
      <c r="F31" s="626">
        <f aca="true" t="shared" si="3" ref="F31:L31">SUM(F30)</f>
        <v>0</v>
      </c>
      <c r="G31" s="624">
        <f t="shared" si="3"/>
        <v>0</v>
      </c>
      <c r="H31" s="625">
        <f t="shared" si="3"/>
        <v>0</v>
      </c>
      <c r="I31" s="624">
        <f t="shared" si="3"/>
        <v>0</v>
      </c>
      <c r="J31" s="624">
        <f t="shared" si="3"/>
        <v>0</v>
      </c>
      <c r="K31" s="624">
        <f t="shared" si="3"/>
        <v>0</v>
      </c>
      <c r="L31" s="624">
        <f t="shared" si="3"/>
        <v>674.63</v>
      </c>
    </row>
    <row r="32" spans="1:12" s="664" customFormat="1" ht="21.75">
      <c r="A32" s="599" t="s">
        <v>83</v>
      </c>
      <c r="B32" s="692"/>
      <c r="C32" s="599" t="s">
        <v>81</v>
      </c>
      <c r="D32" s="666"/>
      <c r="E32" s="628"/>
      <c r="F32" s="666"/>
      <c r="G32" s="628"/>
      <c r="H32" s="667"/>
      <c r="I32" s="628"/>
      <c r="J32" s="628"/>
      <c r="K32" s="628"/>
      <c r="L32" s="628"/>
    </row>
    <row r="33" spans="1:12" s="647" customFormat="1" ht="60.75">
      <c r="A33" s="600" t="s">
        <v>118</v>
      </c>
      <c r="B33" s="631">
        <v>16</v>
      </c>
      <c r="C33" s="600" t="s">
        <v>143</v>
      </c>
      <c r="D33" s="681">
        <f>26+40</f>
        <v>66</v>
      </c>
      <c r="E33" s="680">
        <v>3772.8</v>
      </c>
      <c r="F33" s="681"/>
      <c r="G33" s="680"/>
      <c r="H33" s="682"/>
      <c r="I33" s="683"/>
      <c r="J33" s="683" t="s">
        <v>3</v>
      </c>
      <c r="K33" s="683"/>
      <c r="L33" s="649">
        <f>SUM(E33,G33,I33,J33,K33)</f>
        <v>3772.8</v>
      </c>
    </row>
    <row r="34" spans="1:12" s="647" customFormat="1" ht="40.5" customHeight="1">
      <c r="A34" s="600" t="s">
        <v>163</v>
      </c>
      <c r="B34" s="637">
        <v>17</v>
      </c>
      <c r="C34" s="651" t="s">
        <v>203</v>
      </c>
      <c r="D34" s="652"/>
      <c r="E34" s="653"/>
      <c r="F34" s="652"/>
      <c r="G34" s="653"/>
      <c r="H34" s="654"/>
      <c r="I34" s="653"/>
      <c r="J34" s="609">
        <v>28.9</v>
      </c>
      <c r="K34" s="609"/>
      <c r="L34" s="649">
        <f>SUM(E34,G34,I34,J34,K34)</f>
        <v>28.9</v>
      </c>
    </row>
    <row r="35" spans="2:12" s="664" customFormat="1" ht="21.75">
      <c r="B35" s="677"/>
      <c r="C35" s="627" t="s">
        <v>82</v>
      </c>
      <c r="D35" s="685"/>
      <c r="E35" s="686"/>
      <c r="F35" s="685"/>
      <c r="G35" s="686"/>
      <c r="H35" s="687"/>
      <c r="I35" s="688"/>
      <c r="J35" s="688"/>
      <c r="K35" s="688"/>
      <c r="L35" s="686"/>
    </row>
    <row r="36" spans="1:12" s="647" customFormat="1" ht="21">
      <c r="A36" s="600" t="s">
        <v>119</v>
      </c>
      <c r="B36" s="636">
        <v>18</v>
      </c>
      <c r="C36" s="603" t="s">
        <v>134</v>
      </c>
      <c r="D36" s="681"/>
      <c r="E36" s="680"/>
      <c r="F36" s="681">
        <v>0</v>
      </c>
      <c r="G36" s="680">
        <v>175.8</v>
      </c>
      <c r="H36" s="682"/>
      <c r="I36" s="683"/>
      <c r="J36" s="683"/>
      <c r="K36" s="683"/>
      <c r="L36" s="649">
        <f>SUM(E36,G36,I36,J36,K36)</f>
        <v>175.8</v>
      </c>
    </row>
    <row r="37" spans="1:12" s="647" customFormat="1" ht="21">
      <c r="A37" s="603"/>
      <c r="B37" s="631">
        <v>19</v>
      </c>
      <c r="C37" s="661" t="s">
        <v>156</v>
      </c>
      <c r="D37" s="681"/>
      <c r="E37" s="680" t="s">
        <v>3</v>
      </c>
      <c r="F37" s="681">
        <v>4</v>
      </c>
      <c r="G37" s="680">
        <v>1228.9</v>
      </c>
      <c r="H37" s="682">
        <f>3+1</f>
        <v>4</v>
      </c>
      <c r="I37" s="683">
        <f>68.6+7.3+56</f>
        <v>131.89999999999998</v>
      </c>
      <c r="J37" s="683">
        <v>10095</v>
      </c>
      <c r="K37" s="683" t="s">
        <v>3</v>
      </c>
      <c r="L37" s="649">
        <f>SUM(E37,G37,I37,J37,K37)</f>
        <v>11455.8</v>
      </c>
    </row>
    <row r="38" spans="1:12" s="647" customFormat="1" ht="21">
      <c r="A38" s="603"/>
      <c r="B38" s="631">
        <v>20</v>
      </c>
      <c r="C38" s="661" t="s">
        <v>315</v>
      </c>
      <c r="D38" s="681"/>
      <c r="E38" s="680"/>
      <c r="F38" s="681"/>
      <c r="G38" s="680"/>
      <c r="H38" s="682">
        <v>2</v>
      </c>
      <c r="I38" s="683">
        <v>198.7</v>
      </c>
      <c r="J38" s="683"/>
      <c r="K38" s="683"/>
      <c r="L38" s="649">
        <f aca="true" t="shared" si="4" ref="L38:L58">SUM(E38,G38,I38,J38,K38)</f>
        <v>198.7</v>
      </c>
    </row>
    <row r="39" spans="1:12" s="647" customFormat="1" ht="42">
      <c r="A39" s="603"/>
      <c r="B39" s="631"/>
      <c r="C39" s="833" t="s">
        <v>316</v>
      </c>
      <c r="D39" s="681">
        <v>3</v>
      </c>
      <c r="E39" s="680">
        <v>299.8</v>
      </c>
      <c r="F39" s="681">
        <v>1</v>
      </c>
      <c r="G39" s="680">
        <v>544.3</v>
      </c>
      <c r="H39" s="682"/>
      <c r="I39" s="683"/>
      <c r="J39" s="683">
        <v>38.5</v>
      </c>
      <c r="K39" s="683"/>
      <c r="L39" s="649">
        <f t="shared" si="4"/>
        <v>882.5999999999999</v>
      </c>
    </row>
    <row r="40" spans="1:12" s="647" customFormat="1" ht="21">
      <c r="A40" s="603"/>
      <c r="B40" s="631"/>
      <c r="C40" s="833" t="s">
        <v>317</v>
      </c>
      <c r="D40" s="681">
        <v>10</v>
      </c>
      <c r="E40" s="680">
        <v>487.2</v>
      </c>
      <c r="F40" s="681">
        <v>6</v>
      </c>
      <c r="G40" s="680">
        <v>1552.1</v>
      </c>
      <c r="H40" s="682"/>
      <c r="I40" s="683"/>
      <c r="J40" s="683"/>
      <c r="K40" s="683"/>
      <c r="L40" s="649">
        <f t="shared" si="4"/>
        <v>2039.3</v>
      </c>
    </row>
    <row r="41" spans="1:12" s="647" customFormat="1" ht="21">
      <c r="A41" s="603"/>
      <c r="B41" s="631"/>
      <c r="C41" s="833" t="s">
        <v>318</v>
      </c>
      <c r="D41" s="681"/>
      <c r="E41" s="680"/>
      <c r="F41" s="681">
        <v>0</v>
      </c>
      <c r="G41" s="680">
        <v>138.5</v>
      </c>
      <c r="H41" s="682">
        <f>3+2</f>
        <v>5</v>
      </c>
      <c r="I41" s="683">
        <f>1067.3+198</f>
        <v>1265.3</v>
      </c>
      <c r="J41" s="683"/>
      <c r="K41" s="683"/>
      <c r="L41" s="649">
        <f t="shared" si="4"/>
        <v>1403.8</v>
      </c>
    </row>
    <row r="42" spans="1:12" s="647" customFormat="1" ht="42">
      <c r="A42" s="603"/>
      <c r="B42" s="631">
        <v>21</v>
      </c>
      <c r="C42" s="607" t="s">
        <v>175</v>
      </c>
      <c r="D42" s="681">
        <v>12</v>
      </c>
      <c r="E42" s="680">
        <v>229.4</v>
      </c>
      <c r="F42" s="681"/>
      <c r="G42" s="680"/>
      <c r="H42" s="682">
        <f>2+7</f>
        <v>9</v>
      </c>
      <c r="I42" s="683">
        <f>9.8+286.7+98.7+188.3+126.9</f>
        <v>710.4</v>
      </c>
      <c r="J42" s="683"/>
      <c r="K42" s="683"/>
      <c r="L42" s="649">
        <f t="shared" si="4"/>
        <v>939.8</v>
      </c>
    </row>
    <row r="43" spans="1:12" s="647" customFormat="1" ht="21">
      <c r="A43" s="603"/>
      <c r="B43" s="631">
        <v>22</v>
      </c>
      <c r="C43" s="607" t="s">
        <v>325</v>
      </c>
      <c r="D43" s="681">
        <v>8</v>
      </c>
      <c r="E43" s="680">
        <v>925.9</v>
      </c>
      <c r="F43" s="681"/>
      <c r="G43" s="680"/>
      <c r="H43" s="682"/>
      <c r="I43" s="683"/>
      <c r="J43" s="683"/>
      <c r="K43" s="683"/>
      <c r="L43" s="649">
        <f t="shared" si="4"/>
        <v>925.9</v>
      </c>
    </row>
    <row r="44" spans="1:12" s="647" customFormat="1" ht="42">
      <c r="A44" s="603"/>
      <c r="B44" s="631">
        <v>23</v>
      </c>
      <c r="C44" s="607" t="s">
        <v>330</v>
      </c>
      <c r="D44" s="681"/>
      <c r="E44" s="680"/>
      <c r="F44" s="681"/>
      <c r="G44" s="680"/>
      <c r="H44" s="682">
        <v>3</v>
      </c>
      <c r="I44" s="683">
        <v>73.9</v>
      </c>
      <c r="J44" s="683"/>
      <c r="K44" s="683"/>
      <c r="L44" s="649">
        <f t="shared" si="4"/>
        <v>73.9</v>
      </c>
    </row>
    <row r="45" spans="1:12" s="647" customFormat="1" ht="21" customHeight="1">
      <c r="A45" s="601" t="s">
        <v>117</v>
      </c>
      <c r="B45" s="631">
        <v>24</v>
      </c>
      <c r="C45" s="603" t="s">
        <v>120</v>
      </c>
      <c r="D45" s="681">
        <v>45</v>
      </c>
      <c r="E45" s="680">
        <v>737</v>
      </c>
      <c r="F45" s="681"/>
      <c r="G45" s="680"/>
      <c r="H45" s="682"/>
      <c r="I45" s="683"/>
      <c r="J45" s="683" t="s">
        <v>3</v>
      </c>
      <c r="K45" s="683" t="s">
        <v>3</v>
      </c>
      <c r="L45" s="649">
        <f t="shared" si="4"/>
        <v>737</v>
      </c>
    </row>
    <row r="46" spans="1:12" s="647" customFormat="1" ht="42">
      <c r="A46" s="603"/>
      <c r="B46" s="636">
        <v>25</v>
      </c>
      <c r="C46" s="607" t="s">
        <v>141</v>
      </c>
      <c r="D46" s="681"/>
      <c r="E46" s="653"/>
      <c r="F46" s="681">
        <v>2</v>
      </c>
      <c r="G46" s="680">
        <f>120.7*1.1</f>
        <v>132.77</v>
      </c>
      <c r="H46" s="681">
        <v>2</v>
      </c>
      <c r="I46" s="683">
        <f>114.2+159.2</f>
        <v>273.4</v>
      </c>
      <c r="J46" s="683" t="s">
        <v>3</v>
      </c>
      <c r="K46" s="683" t="s">
        <v>3</v>
      </c>
      <c r="L46" s="649">
        <f t="shared" si="4"/>
        <v>406.16999999999996</v>
      </c>
    </row>
    <row r="47" spans="1:12" s="647" customFormat="1" ht="22.5" customHeight="1">
      <c r="A47" s="603"/>
      <c r="B47" s="631">
        <v>26</v>
      </c>
      <c r="C47" s="607" t="s">
        <v>157</v>
      </c>
      <c r="D47" s="681">
        <f>3+3</f>
        <v>6</v>
      </c>
      <c r="E47" s="680">
        <v>904</v>
      </c>
      <c r="F47" s="681">
        <v>4</v>
      </c>
      <c r="G47" s="680">
        <v>1584.1</v>
      </c>
      <c r="H47" s="682">
        <v>1</v>
      </c>
      <c r="I47" s="683">
        <f>11.9+72.7</f>
        <v>84.60000000000001</v>
      </c>
      <c r="J47" s="683" t="s">
        <v>3</v>
      </c>
      <c r="K47" s="683" t="s">
        <v>3</v>
      </c>
      <c r="L47" s="649">
        <f t="shared" si="4"/>
        <v>2572.7</v>
      </c>
    </row>
    <row r="48" spans="1:12" s="647" customFormat="1" ht="22.5" customHeight="1">
      <c r="A48" s="603"/>
      <c r="B48" s="631">
        <v>27</v>
      </c>
      <c r="C48" s="647" t="s">
        <v>319</v>
      </c>
      <c r="D48" s="681">
        <f>9+6+3+7+5</f>
        <v>30</v>
      </c>
      <c r="E48" s="653">
        <v>1510.3</v>
      </c>
      <c r="F48" s="681">
        <v>5</v>
      </c>
      <c r="G48" s="680">
        <v>1253.9</v>
      </c>
      <c r="H48" s="682">
        <v>3</v>
      </c>
      <c r="I48" s="683">
        <v>27.8</v>
      </c>
      <c r="J48" s="683">
        <v>1337.7</v>
      </c>
      <c r="K48" s="683" t="s">
        <v>3</v>
      </c>
      <c r="L48" s="649">
        <f t="shared" si="4"/>
        <v>4129.7</v>
      </c>
    </row>
    <row r="49" spans="1:12" s="647" customFormat="1" ht="22.5" customHeight="1">
      <c r="A49" s="603"/>
      <c r="B49" s="631">
        <v>28</v>
      </c>
      <c r="C49" s="647" t="s">
        <v>320</v>
      </c>
      <c r="D49" s="681">
        <f>5+17+10</f>
        <v>32</v>
      </c>
      <c r="E49" s="653">
        <v>6347.9</v>
      </c>
      <c r="F49" s="681">
        <v>4</v>
      </c>
      <c r="G49" s="680">
        <v>627.6</v>
      </c>
      <c r="H49" s="682">
        <v>3</v>
      </c>
      <c r="I49" s="683">
        <v>119.6</v>
      </c>
      <c r="J49" s="683">
        <v>1337.7</v>
      </c>
      <c r="K49" s="683"/>
      <c r="L49" s="649">
        <f t="shared" si="4"/>
        <v>8432.800000000001</v>
      </c>
    </row>
    <row r="50" spans="1:12" s="647" customFormat="1" ht="22.5" customHeight="1">
      <c r="A50" s="603"/>
      <c r="B50" s="631">
        <v>29</v>
      </c>
      <c r="C50" s="647" t="s">
        <v>321</v>
      </c>
      <c r="D50" s="681">
        <v>8</v>
      </c>
      <c r="E50" s="653">
        <v>952.6</v>
      </c>
      <c r="F50" s="681">
        <v>2</v>
      </c>
      <c r="G50" s="680">
        <v>381.5</v>
      </c>
      <c r="H50" s="682">
        <v>7</v>
      </c>
      <c r="I50" s="683">
        <v>206.4</v>
      </c>
      <c r="J50" s="683"/>
      <c r="K50" s="683"/>
      <c r="L50" s="649">
        <f>SUM(E50,G50,I50,J50,K50)</f>
        <v>1540.5</v>
      </c>
    </row>
    <row r="51" spans="1:12" s="647" customFormat="1" ht="22.5" customHeight="1">
      <c r="A51" s="603"/>
      <c r="B51" s="631">
        <v>30</v>
      </c>
      <c r="C51" s="647" t="s">
        <v>323</v>
      </c>
      <c r="D51" s="681">
        <f>23+25+29</f>
        <v>77</v>
      </c>
      <c r="E51" s="653">
        <v>1543.2</v>
      </c>
      <c r="F51" s="681">
        <v>22</v>
      </c>
      <c r="G51" s="680">
        <v>274.7</v>
      </c>
      <c r="H51" s="682">
        <v>4</v>
      </c>
      <c r="I51" s="683">
        <v>82.9</v>
      </c>
      <c r="J51" s="683"/>
      <c r="K51" s="683">
        <v>896</v>
      </c>
      <c r="L51" s="649">
        <f t="shared" si="4"/>
        <v>2796.8</v>
      </c>
    </row>
    <row r="52" spans="1:12" s="647" customFormat="1" ht="22.5" customHeight="1">
      <c r="A52" s="603"/>
      <c r="B52" s="631">
        <v>31</v>
      </c>
      <c r="C52" s="647" t="s">
        <v>324</v>
      </c>
      <c r="D52" s="681">
        <v>5</v>
      </c>
      <c r="E52" s="653">
        <v>339.6</v>
      </c>
      <c r="F52" s="681"/>
      <c r="G52" s="680"/>
      <c r="H52" s="682">
        <v>3</v>
      </c>
      <c r="I52" s="683">
        <v>113.1</v>
      </c>
      <c r="J52" s="683">
        <v>1149.7</v>
      </c>
      <c r="K52" s="683"/>
      <c r="L52" s="649">
        <f t="shared" si="4"/>
        <v>1602.4</v>
      </c>
    </row>
    <row r="53" spans="1:12" s="647" customFormat="1" ht="22.5" customHeight="1">
      <c r="A53" s="603"/>
      <c r="B53" s="631">
        <v>32</v>
      </c>
      <c r="C53" s="647" t="s">
        <v>327</v>
      </c>
      <c r="D53" s="681"/>
      <c r="E53" s="653"/>
      <c r="F53" s="681"/>
      <c r="G53" s="680"/>
      <c r="H53" s="682">
        <v>6</v>
      </c>
      <c r="I53" s="683">
        <v>101.8</v>
      </c>
      <c r="J53" s="683"/>
      <c r="K53" s="683"/>
      <c r="L53" s="649">
        <f t="shared" si="4"/>
        <v>101.8</v>
      </c>
    </row>
    <row r="54" spans="1:12" s="647" customFormat="1" ht="40.5">
      <c r="A54" s="600" t="s">
        <v>268</v>
      </c>
      <c r="B54" s="631">
        <v>33</v>
      </c>
      <c r="C54" s="650" t="s">
        <v>326</v>
      </c>
      <c r="D54" s="681">
        <f>3+3+3</f>
        <v>9</v>
      </c>
      <c r="E54" s="609">
        <v>1049</v>
      </c>
      <c r="F54" s="681"/>
      <c r="G54" s="680"/>
      <c r="H54" s="682">
        <f>5+6</f>
        <v>11</v>
      </c>
      <c r="I54" s="683">
        <f>128.6+586.6+233.6+113.2</f>
        <v>1062</v>
      </c>
      <c r="J54" s="683">
        <f>573.6+178.9</f>
        <v>752.5</v>
      </c>
      <c r="K54" s="683"/>
      <c r="L54" s="649">
        <f t="shared" si="4"/>
        <v>2863.5</v>
      </c>
    </row>
    <row r="55" spans="1:12" s="647" customFormat="1" ht="43.5" customHeight="1">
      <c r="A55" s="600" t="s">
        <v>271</v>
      </c>
      <c r="B55" s="631">
        <v>34</v>
      </c>
      <c r="C55" s="651" t="s">
        <v>328</v>
      </c>
      <c r="D55" s="681">
        <v>14</v>
      </c>
      <c r="E55" s="609">
        <v>504.7</v>
      </c>
      <c r="F55" s="681"/>
      <c r="G55" s="680"/>
      <c r="H55" s="682">
        <v>4</v>
      </c>
      <c r="I55" s="683">
        <v>84.1</v>
      </c>
      <c r="J55" s="683"/>
      <c r="K55" s="683"/>
      <c r="L55" s="649">
        <f t="shared" si="4"/>
        <v>588.8</v>
      </c>
    </row>
    <row r="56" spans="1:12" s="647" customFormat="1" ht="21">
      <c r="A56" s="600"/>
      <c r="B56" s="631">
        <v>35</v>
      </c>
      <c r="C56" s="651" t="s">
        <v>329</v>
      </c>
      <c r="D56" s="681"/>
      <c r="E56" s="609"/>
      <c r="F56" s="681"/>
      <c r="G56" s="680"/>
      <c r="H56" s="682">
        <v>4</v>
      </c>
      <c r="I56" s="683">
        <v>74.2</v>
      </c>
      <c r="J56" s="683"/>
      <c r="K56" s="683"/>
      <c r="L56" s="649">
        <f t="shared" si="4"/>
        <v>74.2</v>
      </c>
    </row>
    <row r="57" spans="1:12" s="647" customFormat="1" ht="24" customHeight="1">
      <c r="A57" s="603" t="s">
        <v>118</v>
      </c>
      <c r="B57" s="621">
        <v>36</v>
      </c>
      <c r="C57" s="661" t="s">
        <v>199</v>
      </c>
      <c r="D57" s="681"/>
      <c r="E57" s="680"/>
      <c r="F57" s="681">
        <v>1</v>
      </c>
      <c r="G57" s="680">
        <v>195</v>
      </c>
      <c r="H57" s="682">
        <v>1</v>
      </c>
      <c r="I57" s="683">
        <v>26.4</v>
      </c>
      <c r="J57" s="683"/>
      <c r="K57" s="683">
        <v>602.5</v>
      </c>
      <c r="L57" s="649">
        <f t="shared" si="4"/>
        <v>823.9</v>
      </c>
    </row>
    <row r="58" spans="1:12" s="310" customFormat="1" ht="21">
      <c r="A58" s="650"/>
      <c r="B58" s="637">
        <v>37</v>
      </c>
      <c r="C58" s="750" t="s">
        <v>322</v>
      </c>
      <c r="D58" s="656"/>
      <c r="E58" s="609"/>
      <c r="F58" s="656"/>
      <c r="G58" s="609"/>
      <c r="H58" s="657">
        <v>2</v>
      </c>
      <c r="I58" s="609">
        <v>31.8</v>
      </c>
      <c r="J58" s="609"/>
      <c r="K58" s="609"/>
      <c r="L58" s="649">
        <f t="shared" si="4"/>
        <v>31.8</v>
      </c>
    </row>
    <row r="59" spans="1:12" s="664" customFormat="1" ht="21.75">
      <c r="A59" s="665"/>
      <c r="B59" s="691"/>
      <c r="C59" s="623" t="s">
        <v>481</v>
      </c>
      <c r="D59" s="626">
        <f aca="true" t="shared" si="5" ref="D59:L59">SUM(D33:D58)</f>
        <v>325</v>
      </c>
      <c r="E59" s="624">
        <f t="shared" si="5"/>
        <v>19603.399999999998</v>
      </c>
      <c r="F59" s="626">
        <f t="shared" si="5"/>
        <v>51</v>
      </c>
      <c r="G59" s="624">
        <f t="shared" si="5"/>
        <v>8089.169999999999</v>
      </c>
      <c r="H59" s="626">
        <f t="shared" si="5"/>
        <v>74</v>
      </c>
      <c r="I59" s="624">
        <f t="shared" si="5"/>
        <v>4668.3</v>
      </c>
      <c r="J59" s="624">
        <f t="shared" si="5"/>
        <v>14740.000000000002</v>
      </c>
      <c r="K59" s="624">
        <f t="shared" si="5"/>
        <v>1498.5</v>
      </c>
      <c r="L59" s="624">
        <f t="shared" si="5"/>
        <v>48599.37000000001</v>
      </c>
    </row>
    <row r="60" spans="1:12" s="664" customFormat="1" ht="21.75">
      <c r="A60" s="627" t="s">
        <v>366</v>
      </c>
      <c r="B60" s="690"/>
      <c r="C60" s="599" t="s">
        <v>82</v>
      </c>
      <c r="D60" s="618"/>
      <c r="E60" s="619"/>
      <c r="F60" s="618"/>
      <c r="G60" s="619"/>
      <c r="H60" s="620"/>
      <c r="I60" s="619"/>
      <c r="J60" s="619"/>
      <c r="K60" s="619"/>
      <c r="L60" s="619"/>
    </row>
    <row r="61" spans="1:12" s="647" customFormat="1" ht="21" customHeight="1">
      <c r="A61" s="600" t="s">
        <v>368</v>
      </c>
      <c r="B61" s="621">
        <v>38</v>
      </c>
      <c r="C61" s="602" t="s">
        <v>367</v>
      </c>
      <c r="D61" s="632"/>
      <c r="E61" s="633"/>
      <c r="F61" s="632"/>
      <c r="G61" s="633"/>
      <c r="H61" s="635"/>
      <c r="I61" s="633"/>
      <c r="J61" s="609">
        <v>164.3</v>
      </c>
      <c r="K61" s="609"/>
      <c r="L61" s="649">
        <f>SUM(E61,G61,I61,J61,K61)</f>
        <v>164.3</v>
      </c>
    </row>
    <row r="62" spans="1:12" s="664" customFormat="1" ht="23.25" customHeight="1">
      <c r="A62" s="665"/>
      <c r="B62" s="691"/>
      <c r="C62" s="623" t="s">
        <v>481</v>
      </c>
      <c r="D62" s="626">
        <f>SUM(D61:D61)</f>
        <v>0</v>
      </c>
      <c r="E62" s="624">
        <f>SUM(E61:E61)</f>
        <v>0</v>
      </c>
      <c r="F62" s="626">
        <f aca="true" t="shared" si="6" ref="F62:L62">SUM(F61:F61)</f>
        <v>0</v>
      </c>
      <c r="G62" s="624">
        <f t="shared" si="6"/>
        <v>0</v>
      </c>
      <c r="H62" s="625">
        <f t="shared" si="6"/>
        <v>0</v>
      </c>
      <c r="I62" s="624">
        <f t="shared" si="6"/>
        <v>0</v>
      </c>
      <c r="J62" s="624">
        <f t="shared" si="6"/>
        <v>164.3</v>
      </c>
      <c r="K62" s="624">
        <f t="shared" si="6"/>
        <v>0</v>
      </c>
      <c r="L62" s="624">
        <f t="shared" si="6"/>
        <v>164.3</v>
      </c>
    </row>
    <row r="63" spans="1:12" s="673" customFormat="1" ht="21">
      <c r="A63" s="599" t="s">
        <v>185</v>
      </c>
      <c r="B63" s="694"/>
      <c r="C63" s="599" t="s">
        <v>82</v>
      </c>
      <c r="D63" s="674"/>
      <c r="E63" s="634"/>
      <c r="F63" s="674"/>
      <c r="G63" s="634"/>
      <c r="H63" s="675"/>
      <c r="I63" s="634"/>
      <c r="J63" s="634"/>
      <c r="K63" s="634"/>
      <c r="L63" s="628"/>
    </row>
    <row r="64" spans="1:12" s="647" customFormat="1" ht="21">
      <c r="A64" s="600" t="s">
        <v>119</v>
      </c>
      <c r="B64" s="621">
        <v>39</v>
      </c>
      <c r="C64" s="607" t="s">
        <v>273</v>
      </c>
      <c r="D64" s="655">
        <v>5</v>
      </c>
      <c r="E64" s="649">
        <f>507.4*1.1</f>
        <v>558.14</v>
      </c>
      <c r="F64" s="655"/>
      <c r="G64" s="649"/>
      <c r="H64" s="648"/>
      <c r="I64" s="649"/>
      <c r="J64" s="622"/>
      <c r="K64" s="622"/>
      <c r="L64" s="649">
        <f>SUM(E64,G64,I64,J64,K64)</f>
        <v>558.14</v>
      </c>
    </row>
    <row r="65" spans="1:12" s="664" customFormat="1" ht="21.75">
      <c r="A65" s="665"/>
      <c r="B65" s="691"/>
      <c r="C65" s="623" t="s">
        <v>481</v>
      </c>
      <c r="D65" s="626">
        <f aca="true" t="shared" si="7" ref="D65:L65">SUM(D64:D64)</f>
        <v>5</v>
      </c>
      <c r="E65" s="624">
        <f t="shared" si="7"/>
        <v>558.14</v>
      </c>
      <c r="F65" s="626">
        <f t="shared" si="7"/>
        <v>0</v>
      </c>
      <c r="G65" s="624">
        <f t="shared" si="7"/>
        <v>0</v>
      </c>
      <c r="H65" s="625">
        <f t="shared" si="7"/>
        <v>0</v>
      </c>
      <c r="I65" s="624">
        <f t="shared" si="7"/>
        <v>0</v>
      </c>
      <c r="J65" s="624">
        <f t="shared" si="7"/>
        <v>0</v>
      </c>
      <c r="K65" s="624">
        <f t="shared" si="7"/>
        <v>0</v>
      </c>
      <c r="L65" s="624">
        <f t="shared" si="7"/>
        <v>558.14</v>
      </c>
    </row>
    <row r="66" spans="1:12" s="664" customFormat="1" ht="21.75">
      <c r="A66" s="627" t="s">
        <v>127</v>
      </c>
      <c r="B66" s="690"/>
      <c r="C66" s="627" t="s">
        <v>81</v>
      </c>
      <c r="D66" s="618"/>
      <c r="E66" s="619"/>
      <c r="F66" s="618"/>
      <c r="G66" s="619"/>
      <c r="H66" s="620"/>
      <c r="I66" s="619"/>
      <c r="J66" s="619"/>
      <c r="K66" s="619"/>
      <c r="L66" s="619"/>
    </row>
    <row r="67" spans="1:12" s="660" customFormat="1" ht="39" customHeight="1">
      <c r="A67" s="638" t="s">
        <v>173</v>
      </c>
      <c r="B67" s="642">
        <v>40</v>
      </c>
      <c r="C67" s="751" t="s">
        <v>338</v>
      </c>
      <c r="D67" s="658"/>
      <c r="E67" s="643"/>
      <c r="F67" s="658"/>
      <c r="G67" s="643"/>
      <c r="H67" s="911">
        <v>3</v>
      </c>
      <c r="I67" s="684">
        <f>159.6</f>
        <v>159.6</v>
      </c>
      <c r="J67" s="643"/>
      <c r="K67" s="684">
        <f>1800.2+48.1</f>
        <v>1848.3</v>
      </c>
      <c r="L67" s="649">
        <f>SUM(E67,G67,I67,J67,K67)</f>
        <v>2007.8999999999999</v>
      </c>
    </row>
    <row r="68" spans="1:12" s="660" customFormat="1" ht="21">
      <c r="A68" s="638"/>
      <c r="B68" s="642">
        <v>41</v>
      </c>
      <c r="C68" s="751" t="s">
        <v>339</v>
      </c>
      <c r="D68" s="658"/>
      <c r="E68" s="643"/>
      <c r="F68" s="658"/>
      <c r="G68" s="643"/>
      <c r="H68" s="659"/>
      <c r="I68" s="643"/>
      <c r="J68" s="643"/>
      <c r="K68" s="684">
        <v>11724</v>
      </c>
      <c r="L68" s="649">
        <f aca="true" t="shared" si="8" ref="L68:L75">SUM(E68,G68,I68,J68,K68)</f>
        <v>11724</v>
      </c>
    </row>
    <row r="69" spans="1:12" s="647" customFormat="1" ht="21.75">
      <c r="A69" s="603"/>
      <c r="B69" s="621"/>
      <c r="C69" s="627" t="s">
        <v>82</v>
      </c>
      <c r="D69" s="639"/>
      <c r="E69" s="640"/>
      <c r="F69" s="639"/>
      <c r="G69" s="640"/>
      <c r="H69" s="641"/>
      <c r="I69" s="640"/>
      <c r="J69" s="640"/>
      <c r="K69" s="640"/>
      <c r="L69" s="649"/>
    </row>
    <row r="70" spans="1:12" s="650" customFormat="1" ht="42">
      <c r="A70" s="601" t="s">
        <v>85</v>
      </c>
      <c r="B70" s="621">
        <v>42</v>
      </c>
      <c r="C70" s="607" t="s">
        <v>176</v>
      </c>
      <c r="D70" s="656">
        <v>5</v>
      </c>
      <c r="E70" s="609">
        <v>194</v>
      </c>
      <c r="F70" s="656"/>
      <c r="G70" s="609"/>
      <c r="H70" s="648">
        <v>2</v>
      </c>
      <c r="I70" s="649">
        <f>267.6+21</f>
        <v>288.6</v>
      </c>
      <c r="J70" s="609">
        <v>601.9</v>
      </c>
      <c r="K70" s="609"/>
      <c r="L70" s="649">
        <f t="shared" si="8"/>
        <v>1084.5</v>
      </c>
    </row>
    <row r="71" spans="1:12" s="647" customFormat="1" ht="42">
      <c r="A71" s="601" t="s">
        <v>88</v>
      </c>
      <c r="B71" s="621">
        <v>43</v>
      </c>
      <c r="C71" s="749" t="s">
        <v>144</v>
      </c>
      <c r="D71" s="632">
        <v>6</v>
      </c>
      <c r="E71" s="633">
        <v>229.9</v>
      </c>
      <c r="F71" s="632">
        <v>2</v>
      </c>
      <c r="G71" s="633">
        <v>343.2</v>
      </c>
      <c r="H71" s="657">
        <v>1</v>
      </c>
      <c r="I71" s="609">
        <v>101.4</v>
      </c>
      <c r="J71" s="609"/>
      <c r="K71" s="633" t="s">
        <v>3</v>
      </c>
      <c r="L71" s="649">
        <f t="shared" si="8"/>
        <v>674.5</v>
      </c>
    </row>
    <row r="72" spans="1:12" s="647" customFormat="1" ht="41.25" customHeight="1">
      <c r="A72" s="603"/>
      <c r="B72" s="621">
        <v>44</v>
      </c>
      <c r="C72" s="749" t="s">
        <v>149</v>
      </c>
      <c r="D72" s="656"/>
      <c r="E72" s="609"/>
      <c r="F72" s="656"/>
      <c r="G72" s="609">
        <v>250</v>
      </c>
      <c r="H72" s="657"/>
      <c r="I72" s="609"/>
      <c r="J72" s="609"/>
      <c r="K72" s="609" t="s">
        <v>3</v>
      </c>
      <c r="L72" s="649">
        <f t="shared" si="8"/>
        <v>250</v>
      </c>
    </row>
    <row r="73" spans="1:12" s="647" customFormat="1" ht="42">
      <c r="A73" s="603"/>
      <c r="B73" s="621"/>
      <c r="C73" s="834" t="s">
        <v>335</v>
      </c>
      <c r="D73" s="656"/>
      <c r="E73" s="609"/>
      <c r="F73" s="656"/>
      <c r="G73" s="609"/>
      <c r="H73" s="657">
        <v>3</v>
      </c>
      <c r="I73" s="609">
        <v>284.9</v>
      </c>
      <c r="J73" s="609"/>
      <c r="K73" s="609"/>
      <c r="L73" s="649">
        <f t="shared" si="8"/>
        <v>284.9</v>
      </c>
    </row>
    <row r="74" spans="1:12" s="647" customFormat="1" ht="21">
      <c r="A74" s="638"/>
      <c r="B74" s="631"/>
      <c r="C74" s="834" t="s">
        <v>334</v>
      </c>
      <c r="D74" s="681">
        <v>5</v>
      </c>
      <c r="E74" s="680">
        <v>445.4</v>
      </c>
      <c r="F74" s="681"/>
      <c r="G74" s="680"/>
      <c r="H74" s="682"/>
      <c r="I74" s="683"/>
      <c r="J74" s="683"/>
      <c r="K74" s="683"/>
      <c r="L74" s="649">
        <f t="shared" si="8"/>
        <v>445.4</v>
      </c>
    </row>
    <row r="75" spans="1:12" s="647" customFormat="1" ht="21">
      <c r="A75" s="638"/>
      <c r="B75" s="631">
        <v>45</v>
      </c>
      <c r="C75" s="835" t="s">
        <v>336</v>
      </c>
      <c r="D75" s="681"/>
      <c r="E75" s="680"/>
      <c r="F75" s="681"/>
      <c r="G75" s="680"/>
      <c r="H75" s="682">
        <v>5</v>
      </c>
      <c r="I75" s="683">
        <f>30.7</f>
        <v>30.7</v>
      </c>
      <c r="J75" s="683"/>
      <c r="K75" s="683">
        <v>40.3</v>
      </c>
      <c r="L75" s="649">
        <f t="shared" si="8"/>
        <v>71</v>
      </c>
    </row>
    <row r="76" spans="1:12" s="664" customFormat="1" ht="21.75">
      <c r="A76" s="676"/>
      <c r="B76" s="691"/>
      <c r="C76" s="623" t="s">
        <v>481</v>
      </c>
      <c r="D76" s="626">
        <f>SUM(D67:D75)</f>
        <v>16</v>
      </c>
      <c r="E76" s="624">
        <f aca="true" t="shared" si="9" ref="E76:L76">SUM(E67:E75)</f>
        <v>869.3</v>
      </c>
      <c r="F76" s="626">
        <f t="shared" si="9"/>
        <v>2</v>
      </c>
      <c r="G76" s="624">
        <f t="shared" si="9"/>
        <v>593.2</v>
      </c>
      <c r="H76" s="626">
        <f t="shared" si="9"/>
        <v>14</v>
      </c>
      <c r="I76" s="624">
        <f t="shared" si="9"/>
        <v>865.2</v>
      </c>
      <c r="J76" s="624">
        <f t="shared" si="9"/>
        <v>601.9</v>
      </c>
      <c r="K76" s="624">
        <f t="shared" si="9"/>
        <v>13612.599999999999</v>
      </c>
      <c r="L76" s="624">
        <f t="shared" si="9"/>
        <v>16542.2</v>
      </c>
    </row>
    <row r="77" spans="1:12" s="664" customFormat="1" ht="21.75">
      <c r="A77" s="599" t="s">
        <v>272</v>
      </c>
      <c r="B77" s="692"/>
      <c r="C77" s="599" t="s">
        <v>82</v>
      </c>
      <c r="D77" s="666"/>
      <c r="E77" s="628"/>
      <c r="F77" s="666"/>
      <c r="G77" s="628"/>
      <c r="H77" s="667"/>
      <c r="I77" s="628"/>
      <c r="J77" s="628"/>
      <c r="K77" s="628"/>
      <c r="L77" s="628"/>
    </row>
    <row r="78" spans="1:12" s="647" customFormat="1" ht="42">
      <c r="A78" s="600" t="s">
        <v>117</v>
      </c>
      <c r="B78" s="621">
        <v>46</v>
      </c>
      <c r="C78" s="607" t="s">
        <v>387</v>
      </c>
      <c r="D78" s="655">
        <v>7</v>
      </c>
      <c r="E78" s="649">
        <f>553*1.1</f>
        <v>608.3000000000001</v>
      </c>
      <c r="F78" s="655"/>
      <c r="G78" s="649"/>
      <c r="H78" s="648"/>
      <c r="I78" s="649"/>
      <c r="J78" s="649">
        <v>502.5</v>
      </c>
      <c r="K78" s="622"/>
      <c r="L78" s="649">
        <f>SUM(E78,G78,I78,J78,K78)</f>
        <v>1110.8000000000002</v>
      </c>
    </row>
    <row r="79" spans="1:12" s="664" customFormat="1" ht="21.75">
      <c r="A79" s="665"/>
      <c r="B79" s="691"/>
      <c r="C79" s="623" t="s">
        <v>481</v>
      </c>
      <c r="D79" s="626">
        <f aca="true" t="shared" si="10" ref="D79:L79">SUM(D78)</f>
        <v>7</v>
      </c>
      <c r="E79" s="624">
        <f t="shared" si="10"/>
        <v>608.3000000000001</v>
      </c>
      <c r="F79" s="626">
        <f t="shared" si="10"/>
        <v>0</v>
      </c>
      <c r="G79" s="624">
        <f t="shared" si="10"/>
        <v>0</v>
      </c>
      <c r="H79" s="625">
        <f t="shared" si="10"/>
        <v>0</v>
      </c>
      <c r="I79" s="624">
        <f t="shared" si="10"/>
        <v>0</v>
      </c>
      <c r="J79" s="624">
        <f t="shared" si="10"/>
        <v>502.5</v>
      </c>
      <c r="K79" s="624">
        <f t="shared" si="10"/>
        <v>0</v>
      </c>
      <c r="L79" s="624">
        <f t="shared" si="10"/>
        <v>1110.8000000000002</v>
      </c>
    </row>
    <row r="80" spans="1:12" s="664" customFormat="1" ht="21.75">
      <c r="A80" s="599" t="s">
        <v>369</v>
      </c>
      <c r="B80" s="692"/>
      <c r="C80" s="604" t="s">
        <v>86</v>
      </c>
      <c r="D80" s="666"/>
      <c r="E80" s="628"/>
      <c r="F80" s="666"/>
      <c r="G80" s="628"/>
      <c r="H80" s="667"/>
      <c r="I80" s="628"/>
      <c r="J80" s="628"/>
      <c r="K80" s="628"/>
      <c r="L80" s="628"/>
    </row>
    <row r="81" spans="1:12" s="647" customFormat="1" ht="40.5">
      <c r="A81" s="600" t="s">
        <v>370</v>
      </c>
      <c r="B81" s="621">
        <v>47</v>
      </c>
      <c r="C81" s="876" t="s">
        <v>371</v>
      </c>
      <c r="D81" s="639"/>
      <c r="E81" s="640"/>
      <c r="F81" s="632">
        <v>2</v>
      </c>
      <c r="G81" s="633">
        <v>236.1</v>
      </c>
      <c r="H81" s="654"/>
      <c r="I81" s="653"/>
      <c r="J81" s="653"/>
      <c r="K81" s="609" t="s">
        <v>3</v>
      </c>
      <c r="L81" s="649">
        <f>SUM(E81,G81,I81,J81,K81)</f>
        <v>236.1</v>
      </c>
    </row>
    <row r="82" spans="1:12" s="664" customFormat="1" ht="21.75">
      <c r="A82" s="665"/>
      <c r="B82" s="691"/>
      <c r="C82" s="623" t="s">
        <v>481</v>
      </c>
      <c r="D82" s="626">
        <f aca="true" t="shared" si="11" ref="D82:K82">SUM(D81)</f>
        <v>0</v>
      </c>
      <c r="E82" s="624">
        <f t="shared" si="11"/>
        <v>0</v>
      </c>
      <c r="F82" s="626">
        <f t="shared" si="11"/>
        <v>2</v>
      </c>
      <c r="G82" s="624">
        <f t="shared" si="11"/>
        <v>236.1</v>
      </c>
      <c r="H82" s="625">
        <f t="shared" si="11"/>
        <v>0</v>
      </c>
      <c r="I82" s="624">
        <f t="shared" si="11"/>
        <v>0</v>
      </c>
      <c r="J82" s="624">
        <f t="shared" si="11"/>
        <v>0</v>
      </c>
      <c r="K82" s="624">
        <f t="shared" si="11"/>
        <v>0</v>
      </c>
      <c r="L82" s="624">
        <f>SUM(G82,I82,J82,K82)</f>
        <v>236.1</v>
      </c>
    </row>
    <row r="83" spans="1:12" s="664" customFormat="1" ht="21.75">
      <c r="A83" s="627" t="s">
        <v>126</v>
      </c>
      <c r="B83" s="690"/>
      <c r="C83" s="627" t="s">
        <v>82</v>
      </c>
      <c r="D83" s="618"/>
      <c r="E83" s="619"/>
      <c r="F83" s="618"/>
      <c r="G83" s="619"/>
      <c r="H83" s="620"/>
      <c r="I83" s="619"/>
      <c r="J83" s="619"/>
      <c r="K83" s="619"/>
      <c r="L83" s="619"/>
    </row>
    <row r="84" spans="1:12" s="664" customFormat="1" ht="21.75">
      <c r="A84" s="600" t="s">
        <v>119</v>
      </c>
      <c r="B84" s="690">
        <v>48</v>
      </c>
      <c r="C84" s="607" t="s">
        <v>365</v>
      </c>
      <c r="D84" s="618"/>
      <c r="E84" s="619"/>
      <c r="F84" s="618"/>
      <c r="G84" s="619"/>
      <c r="H84" s="620"/>
      <c r="I84" s="619"/>
      <c r="J84" s="653">
        <v>122.7</v>
      </c>
      <c r="K84" s="619"/>
      <c r="L84" s="649">
        <f>SUM(E84,G84,I84,J84,K84)</f>
        <v>122.7</v>
      </c>
    </row>
    <row r="85" spans="1:12" s="647" customFormat="1" ht="42.75" customHeight="1">
      <c r="A85" s="608" t="s">
        <v>163</v>
      </c>
      <c r="B85" s="621">
        <v>49</v>
      </c>
      <c r="C85" s="607" t="s">
        <v>202</v>
      </c>
      <c r="D85" s="632">
        <v>7</v>
      </c>
      <c r="E85" s="633">
        <f>65.5*1.1</f>
        <v>72.05000000000001</v>
      </c>
      <c r="F85" s="632"/>
      <c r="G85" s="633"/>
      <c r="H85" s="657">
        <v>9</v>
      </c>
      <c r="I85" s="609">
        <v>1635.3</v>
      </c>
      <c r="J85" s="609">
        <v>417</v>
      </c>
      <c r="K85" s="640"/>
      <c r="L85" s="649">
        <f>SUM(E85,G85,I85,J85,K85)</f>
        <v>2124.35</v>
      </c>
    </row>
    <row r="86" spans="1:12" s="664" customFormat="1" ht="21.75">
      <c r="A86" s="665"/>
      <c r="B86" s="691"/>
      <c r="C86" s="623" t="s">
        <v>481</v>
      </c>
      <c r="D86" s="626">
        <f aca="true" t="shared" si="12" ref="D86:L86">SUM(D84:D85)</f>
        <v>7</v>
      </c>
      <c r="E86" s="624">
        <f t="shared" si="12"/>
        <v>72.05000000000001</v>
      </c>
      <c r="F86" s="626">
        <f t="shared" si="12"/>
        <v>0</v>
      </c>
      <c r="G86" s="624">
        <f t="shared" si="12"/>
        <v>0</v>
      </c>
      <c r="H86" s="626">
        <f t="shared" si="12"/>
        <v>9</v>
      </c>
      <c r="I86" s="624">
        <f t="shared" si="12"/>
        <v>1635.3</v>
      </c>
      <c r="J86" s="624">
        <f t="shared" si="12"/>
        <v>539.7</v>
      </c>
      <c r="K86" s="624">
        <f t="shared" si="12"/>
        <v>0</v>
      </c>
      <c r="L86" s="624">
        <f t="shared" si="12"/>
        <v>2247.0499999999997</v>
      </c>
    </row>
    <row r="87" spans="1:12" s="664" customFormat="1" ht="21.75">
      <c r="A87" s="599" t="s">
        <v>160</v>
      </c>
      <c r="B87" s="692"/>
      <c r="C87" s="604" t="s">
        <v>86</v>
      </c>
      <c r="D87" s="666"/>
      <c r="E87" s="628"/>
      <c r="F87" s="666"/>
      <c r="G87" s="628"/>
      <c r="H87" s="667"/>
      <c r="I87" s="628"/>
      <c r="J87" s="628"/>
      <c r="K87" s="628"/>
      <c r="L87" s="628"/>
    </row>
    <row r="88" spans="1:12" s="647" customFormat="1" ht="21">
      <c r="A88" s="603" t="s">
        <v>85</v>
      </c>
      <c r="B88" s="621">
        <v>50</v>
      </c>
      <c r="C88" s="605" t="s">
        <v>161</v>
      </c>
      <c r="D88" s="652"/>
      <c r="E88" s="653"/>
      <c r="F88" s="652"/>
      <c r="G88" s="653"/>
      <c r="H88" s="654"/>
      <c r="I88" s="653"/>
      <c r="J88" s="653"/>
      <c r="K88" s="653"/>
      <c r="L88" s="649"/>
    </row>
    <row r="89" spans="1:12" s="647" customFormat="1" ht="21">
      <c r="A89" s="603"/>
      <c r="B89" s="621"/>
      <c r="C89" s="877" t="s">
        <v>374</v>
      </c>
      <c r="D89" s="652">
        <v>5</v>
      </c>
      <c r="E89" s="653">
        <v>757.1</v>
      </c>
      <c r="H89" s="654"/>
      <c r="I89" s="653"/>
      <c r="J89" s="653"/>
      <c r="K89" s="653"/>
      <c r="L89" s="649">
        <f>SUM(E89,G89,I89,J89,K89)</f>
        <v>757.1</v>
      </c>
    </row>
    <row r="90" spans="1:12" s="647" customFormat="1" ht="21">
      <c r="A90" s="603"/>
      <c r="B90" s="621"/>
      <c r="C90" s="877" t="s">
        <v>388</v>
      </c>
      <c r="D90" s="652">
        <v>8</v>
      </c>
      <c r="E90" s="653">
        <v>1006.5</v>
      </c>
      <c r="H90" s="654"/>
      <c r="I90" s="653"/>
      <c r="J90" s="653"/>
      <c r="K90" s="653"/>
      <c r="L90" s="649">
        <f aca="true" t="shared" si="13" ref="L90:L96">SUM(E90,G90,I90,J90,K90)</f>
        <v>1006.5</v>
      </c>
    </row>
    <row r="91" spans="1:12" s="647" customFormat="1" ht="21">
      <c r="A91" s="603"/>
      <c r="B91" s="621"/>
      <c r="C91" s="877" t="s">
        <v>375</v>
      </c>
      <c r="D91" s="652">
        <v>10</v>
      </c>
      <c r="E91" s="653">
        <v>860.3</v>
      </c>
      <c r="H91" s="654"/>
      <c r="I91" s="653"/>
      <c r="J91" s="653"/>
      <c r="K91" s="653"/>
      <c r="L91" s="649">
        <f t="shared" si="13"/>
        <v>860.3</v>
      </c>
    </row>
    <row r="92" spans="1:12" s="647" customFormat="1" ht="21">
      <c r="A92" s="603" t="s">
        <v>84</v>
      </c>
      <c r="B92" s="621">
        <v>51</v>
      </c>
      <c r="C92" s="605" t="s">
        <v>376</v>
      </c>
      <c r="D92" s="652"/>
      <c r="E92" s="653"/>
      <c r="F92" s="652"/>
      <c r="G92" s="653"/>
      <c r="H92" s="654"/>
      <c r="I92" s="653"/>
      <c r="J92" s="653"/>
      <c r="K92" s="653"/>
      <c r="L92" s="649"/>
    </row>
    <row r="93" spans="1:12" s="647" customFormat="1" ht="21">
      <c r="A93" s="603"/>
      <c r="B93" s="621"/>
      <c r="C93" s="877" t="s">
        <v>380</v>
      </c>
      <c r="D93" s="652">
        <v>5</v>
      </c>
      <c r="E93" s="653">
        <v>601.6</v>
      </c>
      <c r="F93" s="652"/>
      <c r="G93" s="653"/>
      <c r="H93" s="654"/>
      <c r="I93" s="653"/>
      <c r="J93" s="653"/>
      <c r="K93" s="653"/>
      <c r="L93" s="649">
        <f t="shared" si="13"/>
        <v>601.6</v>
      </c>
    </row>
    <row r="94" spans="1:12" s="647" customFormat="1" ht="21">
      <c r="A94" s="603"/>
      <c r="B94" s="621"/>
      <c r="C94" s="877" t="s">
        <v>381</v>
      </c>
      <c r="D94" s="652">
        <v>5</v>
      </c>
      <c r="E94" s="653">
        <v>631.7</v>
      </c>
      <c r="F94" s="652"/>
      <c r="G94" s="653"/>
      <c r="H94" s="654"/>
      <c r="I94" s="653"/>
      <c r="J94" s="653"/>
      <c r="K94" s="653"/>
      <c r="L94" s="649">
        <f t="shared" si="13"/>
        <v>631.7</v>
      </c>
    </row>
    <row r="95" spans="1:12" s="647" customFormat="1" ht="21">
      <c r="A95" s="603"/>
      <c r="B95" s="621"/>
      <c r="C95" s="877" t="s">
        <v>382</v>
      </c>
      <c r="D95" s="652">
        <v>5</v>
      </c>
      <c r="E95" s="653">
        <v>637.1</v>
      </c>
      <c r="F95" s="652"/>
      <c r="G95" s="653"/>
      <c r="H95" s="654"/>
      <c r="I95" s="653"/>
      <c r="J95" s="653"/>
      <c r="K95" s="653"/>
      <c r="L95" s="649">
        <f t="shared" si="13"/>
        <v>637.1</v>
      </c>
    </row>
    <row r="96" spans="1:12" s="647" customFormat="1" ht="21">
      <c r="A96" s="603"/>
      <c r="B96" s="621"/>
      <c r="C96" s="877" t="s">
        <v>383</v>
      </c>
      <c r="D96" s="652">
        <v>5</v>
      </c>
      <c r="E96" s="653">
        <v>607.1</v>
      </c>
      <c r="F96" s="652"/>
      <c r="G96" s="653"/>
      <c r="H96" s="654"/>
      <c r="I96" s="653"/>
      <c r="J96" s="653"/>
      <c r="K96" s="653"/>
      <c r="L96" s="649">
        <f t="shared" si="13"/>
        <v>607.1</v>
      </c>
    </row>
    <row r="97" spans="1:12" s="664" customFormat="1" ht="21.75">
      <c r="A97" s="665"/>
      <c r="B97" s="691"/>
      <c r="C97" s="623" t="s">
        <v>481</v>
      </c>
      <c r="D97" s="626">
        <f aca="true" t="shared" si="14" ref="D97:L97">SUM(D88:D96)</f>
        <v>43</v>
      </c>
      <c r="E97" s="624">
        <f t="shared" si="14"/>
        <v>5101.400000000001</v>
      </c>
      <c r="F97" s="626">
        <f t="shared" si="14"/>
        <v>0</v>
      </c>
      <c r="G97" s="624">
        <f t="shared" si="14"/>
        <v>0</v>
      </c>
      <c r="H97" s="624">
        <f t="shared" si="14"/>
        <v>0</v>
      </c>
      <c r="I97" s="624">
        <f t="shared" si="14"/>
        <v>0</v>
      </c>
      <c r="J97" s="624">
        <f t="shared" si="14"/>
        <v>0</v>
      </c>
      <c r="K97" s="624">
        <f t="shared" si="14"/>
        <v>0</v>
      </c>
      <c r="L97" s="624">
        <f t="shared" si="14"/>
        <v>5101.400000000001</v>
      </c>
    </row>
    <row r="98" spans="1:12" s="664" customFormat="1" ht="21.75">
      <c r="A98" s="627" t="s">
        <v>87</v>
      </c>
      <c r="B98" s="692"/>
      <c r="C98" s="627" t="s">
        <v>82</v>
      </c>
      <c r="D98" s="669"/>
      <c r="E98" s="670"/>
      <c r="F98" s="669"/>
      <c r="G98" s="670"/>
      <c r="H98" s="671"/>
      <c r="I98" s="670"/>
      <c r="J98" s="670"/>
      <c r="K98" s="670"/>
      <c r="L98" s="634"/>
    </row>
    <row r="99" spans="1:12" s="647" customFormat="1" ht="42">
      <c r="A99" s="601" t="s">
        <v>85</v>
      </c>
      <c r="B99" s="621">
        <v>52</v>
      </c>
      <c r="C99" s="836" t="s">
        <v>340</v>
      </c>
      <c r="D99" s="652"/>
      <c r="E99" s="653"/>
      <c r="F99" s="652"/>
      <c r="G99" s="653"/>
      <c r="H99" s="656">
        <v>2</v>
      </c>
      <c r="I99" s="609">
        <v>118.5</v>
      </c>
      <c r="J99" s="653"/>
      <c r="K99" s="653"/>
      <c r="L99" s="649">
        <f>SUM(E99,G99,I99,J99,K99)</f>
        <v>118.5</v>
      </c>
    </row>
    <row r="100" spans="1:12" s="647" customFormat="1" ht="21">
      <c r="A100" s="601"/>
      <c r="B100" s="621">
        <v>53</v>
      </c>
      <c r="C100" s="836" t="s">
        <v>470</v>
      </c>
      <c r="D100" s="652"/>
      <c r="E100" s="653"/>
      <c r="F100" s="652"/>
      <c r="G100" s="653"/>
      <c r="H100" s="656">
        <v>1</v>
      </c>
      <c r="I100" s="609">
        <v>31.8</v>
      </c>
      <c r="J100" s="653"/>
      <c r="K100" s="653"/>
      <c r="L100" s="649">
        <f>SUM(E100,G100,I100,J100,K100)</f>
        <v>31.8</v>
      </c>
    </row>
    <row r="101" spans="1:12" s="650" customFormat="1" ht="42">
      <c r="A101" s="601" t="s">
        <v>88</v>
      </c>
      <c r="B101" s="621">
        <v>54</v>
      </c>
      <c r="C101" s="749" t="s">
        <v>133</v>
      </c>
      <c r="D101" s="656" t="s">
        <v>3</v>
      </c>
      <c r="E101" s="609" t="s">
        <v>3</v>
      </c>
      <c r="F101" s="656">
        <v>2</v>
      </c>
      <c r="G101" s="609">
        <v>1434.2</v>
      </c>
      <c r="H101" s="657"/>
      <c r="I101" s="609"/>
      <c r="J101" s="609"/>
      <c r="K101" s="609"/>
      <c r="L101" s="649">
        <f>SUM(E101,G101,I101,J101,K101)</f>
        <v>1434.2</v>
      </c>
    </row>
    <row r="102" spans="1:12" s="647" customFormat="1" ht="21">
      <c r="A102" s="603"/>
      <c r="B102" s="621">
        <v>55</v>
      </c>
      <c r="C102" s="605" t="s">
        <v>89</v>
      </c>
      <c r="D102" s="652"/>
      <c r="E102" s="653"/>
      <c r="F102" s="652">
        <v>1</v>
      </c>
      <c r="G102" s="653">
        <v>236.3</v>
      </c>
      <c r="H102" s="654"/>
      <c r="I102" s="653"/>
      <c r="J102" s="653"/>
      <c r="K102" s="653"/>
      <c r="L102" s="649">
        <f>SUM(E102,G102,I102,J102,K102)</f>
        <v>236.3</v>
      </c>
    </row>
    <row r="103" spans="1:12" s="647" customFormat="1" ht="21">
      <c r="A103" s="603"/>
      <c r="B103" s="621"/>
      <c r="C103" s="877" t="s">
        <v>471</v>
      </c>
      <c r="D103" s="652"/>
      <c r="E103" s="653"/>
      <c r="F103" s="652"/>
      <c r="G103" s="653"/>
      <c r="H103" s="654">
        <v>2</v>
      </c>
      <c r="I103" s="653">
        <v>110</v>
      </c>
      <c r="J103" s="653"/>
      <c r="K103" s="653"/>
      <c r="L103" s="649">
        <f>SUM(E103,G103,I103,J103,K103)</f>
        <v>110</v>
      </c>
    </row>
    <row r="104" spans="1:12" s="664" customFormat="1" ht="21.75">
      <c r="A104" s="665"/>
      <c r="B104" s="691"/>
      <c r="C104" s="623" t="s">
        <v>481</v>
      </c>
      <c r="D104" s="626">
        <f aca="true" t="shared" si="15" ref="D104:L104">SUM(D99:D103)</f>
        <v>0</v>
      </c>
      <c r="E104" s="624">
        <f t="shared" si="15"/>
        <v>0</v>
      </c>
      <c r="F104" s="626">
        <f t="shared" si="15"/>
        <v>3</v>
      </c>
      <c r="G104" s="624">
        <f t="shared" si="15"/>
        <v>1670.5</v>
      </c>
      <c r="H104" s="626">
        <f t="shared" si="15"/>
        <v>5</v>
      </c>
      <c r="I104" s="624">
        <f t="shared" si="15"/>
        <v>260.3</v>
      </c>
      <c r="J104" s="624">
        <f t="shared" si="15"/>
        <v>0</v>
      </c>
      <c r="K104" s="624">
        <f t="shared" si="15"/>
        <v>0</v>
      </c>
      <c r="L104" s="624">
        <f t="shared" si="15"/>
        <v>1930.8</v>
      </c>
    </row>
    <row r="105" spans="1:12" s="664" customFormat="1" ht="21.75">
      <c r="A105" s="627" t="s">
        <v>411</v>
      </c>
      <c r="B105" s="690"/>
      <c r="C105" s="627" t="s">
        <v>81</v>
      </c>
      <c r="D105" s="1027"/>
      <c r="E105" s="1028"/>
      <c r="F105" s="1027"/>
      <c r="G105" s="1028"/>
      <c r="H105" s="1029"/>
      <c r="I105" s="1028"/>
      <c r="J105" s="1028"/>
      <c r="K105" s="1028"/>
      <c r="L105" s="1030"/>
    </row>
    <row r="106" spans="1:12" s="647" customFormat="1" ht="45.75" customHeight="1">
      <c r="A106" s="600" t="s">
        <v>412</v>
      </c>
      <c r="B106" s="621">
        <v>56</v>
      </c>
      <c r="C106" s="607" t="s">
        <v>413</v>
      </c>
      <c r="D106" s="652"/>
      <c r="E106" s="653"/>
      <c r="F106" s="652"/>
      <c r="G106" s="653"/>
      <c r="H106" s="656"/>
      <c r="I106" s="609"/>
      <c r="J106" s="653"/>
      <c r="K106" s="649">
        <v>3276</v>
      </c>
      <c r="L106" s="649">
        <f>SUM(E106,G106,I106,J106,K106)</f>
        <v>3276</v>
      </c>
    </row>
    <row r="107" spans="1:12" s="664" customFormat="1" ht="22.5" thickBot="1">
      <c r="A107" s="904"/>
      <c r="B107" s="905"/>
      <c r="C107" s="906" t="s">
        <v>481</v>
      </c>
      <c r="D107" s="907">
        <f aca="true" t="shared" si="16" ref="D107:L107">SUM(D106:D106)</f>
        <v>0</v>
      </c>
      <c r="E107" s="908">
        <f t="shared" si="16"/>
        <v>0</v>
      </c>
      <c r="F107" s="907">
        <f t="shared" si="16"/>
        <v>0</v>
      </c>
      <c r="G107" s="908">
        <f t="shared" si="16"/>
        <v>0</v>
      </c>
      <c r="H107" s="907">
        <f t="shared" si="16"/>
        <v>0</v>
      </c>
      <c r="I107" s="908">
        <f t="shared" si="16"/>
        <v>0</v>
      </c>
      <c r="J107" s="908">
        <f t="shared" si="16"/>
        <v>0</v>
      </c>
      <c r="K107" s="908">
        <f t="shared" si="16"/>
        <v>3276</v>
      </c>
      <c r="L107" s="908">
        <f t="shared" si="16"/>
        <v>3276</v>
      </c>
    </row>
    <row r="108" spans="1:12" s="664" customFormat="1" ht="20.25" customHeight="1" thickBot="1">
      <c r="A108" s="1170" t="s">
        <v>507</v>
      </c>
      <c r="B108" s="1170"/>
      <c r="C108" s="1170"/>
      <c r="D108" s="909">
        <f aca="true" t="shared" si="17" ref="D108:L108">SUM(D5:D107)/2</f>
        <v>478</v>
      </c>
      <c r="E108" s="910">
        <f t="shared" si="17"/>
        <v>32346.690000000006</v>
      </c>
      <c r="F108" s="909">
        <f t="shared" si="17"/>
        <v>59</v>
      </c>
      <c r="G108" s="910">
        <f t="shared" si="17"/>
        <v>11419.25</v>
      </c>
      <c r="H108" s="909">
        <f t="shared" si="17"/>
        <v>144</v>
      </c>
      <c r="I108" s="910">
        <f t="shared" si="17"/>
        <v>12190.67</v>
      </c>
      <c r="J108" s="910">
        <f t="shared" si="17"/>
        <v>20851.700000000004</v>
      </c>
      <c r="K108" s="910">
        <f t="shared" si="17"/>
        <v>44858.8</v>
      </c>
      <c r="L108" s="910">
        <f t="shared" si="17"/>
        <v>121667.11</v>
      </c>
    </row>
    <row r="109" ht="19.5" customHeight="1">
      <c r="A109" s="1112" t="s">
        <v>540</v>
      </c>
    </row>
  </sheetData>
  <sheetProtection/>
  <mergeCells count="10">
    <mergeCell ref="A108:C108"/>
    <mergeCell ref="H2:I2"/>
    <mergeCell ref="J2:J3"/>
    <mergeCell ref="K2:K3"/>
    <mergeCell ref="L2:L3"/>
    <mergeCell ref="A2:A3"/>
    <mergeCell ref="B2:B3"/>
    <mergeCell ref="C2:C3"/>
    <mergeCell ref="F2:G2"/>
    <mergeCell ref="D2:E2"/>
  </mergeCells>
  <printOptions/>
  <pageMargins left="0" right="0" top="0.4" bottom="0.4"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5"/>
  </sheetPr>
  <dimension ref="A1:O57"/>
  <sheetViews>
    <sheetView zoomScalePageLayoutView="0" workbookViewId="0" topLeftCell="A1">
      <selection activeCell="A5" sqref="A5"/>
    </sheetView>
  </sheetViews>
  <sheetFormatPr defaultColWidth="9.140625" defaultRowHeight="12.75"/>
  <cols>
    <col min="1" max="1" width="28.00390625" style="68" customWidth="1"/>
    <col min="2" max="2" width="7.28125" style="58" customWidth="1"/>
    <col min="3" max="3" width="8.7109375" style="473" customWidth="1"/>
    <col min="4" max="4" width="7.00390625" style="58" customWidth="1"/>
    <col min="5" max="5" width="10.00390625" style="473" customWidth="1"/>
    <col min="6" max="6" width="7.28125" style="58" customWidth="1"/>
    <col min="7" max="7" width="7.57421875" style="468" customWidth="1"/>
    <col min="8" max="8" width="7.28125" style="68" customWidth="1"/>
    <col min="9" max="9" width="9.57421875" style="468" customWidth="1"/>
    <col min="10" max="10" width="7.57421875" style="68" customWidth="1"/>
    <col min="11" max="11" width="9.00390625" style="468" customWidth="1"/>
    <col min="16" max="16384" width="9.140625" style="68" customWidth="1"/>
  </cols>
  <sheetData>
    <row r="1" spans="1:15" s="72" customFormat="1" ht="23.25" customHeight="1" thickBot="1">
      <c r="A1" s="185" t="s">
        <v>530</v>
      </c>
      <c r="B1" s="100"/>
      <c r="C1" s="470"/>
      <c r="D1" s="100"/>
      <c r="E1" s="470"/>
      <c r="F1" s="100"/>
      <c r="G1" s="470"/>
      <c r="H1" s="460"/>
      <c r="I1" s="470"/>
      <c r="J1" s="87"/>
      <c r="L1"/>
      <c r="M1"/>
      <c r="N1"/>
      <c r="O1"/>
    </row>
    <row r="2" spans="1:15" s="72" customFormat="1" ht="70.5" customHeight="1">
      <c r="A2" s="1163" t="s">
        <v>473</v>
      </c>
      <c r="B2" s="1185" t="s">
        <v>50</v>
      </c>
      <c r="C2" s="1185"/>
      <c r="D2" s="1185" t="s">
        <v>57</v>
      </c>
      <c r="E2" s="1185"/>
      <c r="F2" s="1185" t="s">
        <v>60</v>
      </c>
      <c r="G2" s="1185"/>
      <c r="H2" s="1186" t="s">
        <v>71</v>
      </c>
      <c r="I2" s="1186"/>
      <c r="J2" s="1184" t="s">
        <v>481</v>
      </c>
      <c r="K2" s="1184"/>
      <c r="L2"/>
      <c r="M2"/>
      <c r="N2"/>
      <c r="O2"/>
    </row>
    <row r="3" spans="1:15" s="72" customFormat="1" ht="19.5" customHeight="1" thickBot="1">
      <c r="A3" s="1164"/>
      <c r="B3" s="1113" t="s">
        <v>474</v>
      </c>
      <c r="C3" s="1114" t="s">
        <v>475</v>
      </c>
      <c r="D3" s="1113" t="s">
        <v>474</v>
      </c>
      <c r="E3" s="1114" t="s">
        <v>475</v>
      </c>
      <c r="F3" s="1113" t="s">
        <v>474</v>
      </c>
      <c r="G3" s="1114" t="s">
        <v>475</v>
      </c>
      <c r="H3" s="1113" t="s">
        <v>474</v>
      </c>
      <c r="I3" s="1114" t="s">
        <v>475</v>
      </c>
      <c r="J3" s="1113" t="s">
        <v>474</v>
      </c>
      <c r="K3" s="1114" t="s">
        <v>475</v>
      </c>
      <c r="L3"/>
      <c r="M3"/>
      <c r="N3"/>
      <c r="O3"/>
    </row>
    <row r="4" spans="1:15" s="66" customFormat="1" ht="18.75" customHeight="1">
      <c r="A4" s="75" t="s">
        <v>538</v>
      </c>
      <c r="B4" s="170"/>
      <c r="C4" s="462"/>
      <c r="D4" s="93"/>
      <c r="E4" s="462"/>
      <c r="F4" s="170"/>
      <c r="G4" s="462"/>
      <c r="H4" s="169"/>
      <c r="I4" s="462"/>
      <c r="J4" s="166"/>
      <c r="K4" s="476"/>
      <c r="L4"/>
      <c r="M4"/>
      <c r="N4"/>
      <c r="O4"/>
    </row>
    <row r="5" spans="1:15" s="275" customFormat="1" ht="18.75" customHeight="1">
      <c r="A5" s="168" t="s">
        <v>10</v>
      </c>
      <c r="B5" s="273">
        <v>2</v>
      </c>
      <c r="C5" s="471">
        <v>543.7</v>
      </c>
      <c r="D5" s="272"/>
      <c r="E5" s="474"/>
      <c r="F5" s="273" t="s">
        <v>3</v>
      </c>
      <c r="G5" s="471" t="s">
        <v>3</v>
      </c>
      <c r="H5" s="272" t="s">
        <v>3</v>
      </c>
      <c r="I5" s="471" t="s">
        <v>3</v>
      </c>
      <c r="J5" s="274">
        <f>SUM(B5,D5,F5,H5)</f>
        <v>2</v>
      </c>
      <c r="K5" s="477">
        <f>SUM(C5,E5,G5,I5)</f>
        <v>543.7</v>
      </c>
      <c r="L5" s="256"/>
      <c r="M5" s="256"/>
      <c r="N5" s="256"/>
      <c r="O5" s="256"/>
    </row>
    <row r="6" spans="1:15" s="72" customFormat="1" ht="21.75" thickBot="1">
      <c r="A6" s="109" t="s">
        <v>481</v>
      </c>
      <c r="B6" s="151">
        <f aca="true" t="shared" si="0" ref="B6:K6">SUM(B4:B5)</f>
        <v>2</v>
      </c>
      <c r="C6" s="463">
        <f t="shared" si="0"/>
        <v>543.7</v>
      </c>
      <c r="D6" s="151">
        <f t="shared" si="0"/>
        <v>0</v>
      </c>
      <c r="E6" s="463">
        <f t="shared" si="0"/>
        <v>0</v>
      </c>
      <c r="F6" s="151">
        <f t="shared" si="0"/>
        <v>0</v>
      </c>
      <c r="G6" s="151">
        <f t="shared" si="0"/>
        <v>0</v>
      </c>
      <c r="H6" s="151">
        <f t="shared" si="0"/>
        <v>0</v>
      </c>
      <c r="I6" s="463">
        <f t="shared" si="0"/>
        <v>0</v>
      </c>
      <c r="J6" s="151">
        <f t="shared" si="0"/>
        <v>2</v>
      </c>
      <c r="K6" s="463">
        <f t="shared" si="0"/>
        <v>543.7</v>
      </c>
      <c r="L6"/>
      <c r="M6"/>
      <c r="N6"/>
      <c r="O6"/>
    </row>
    <row r="7" spans="1:15" s="72" customFormat="1" ht="29.25" customHeight="1">
      <c r="A7" s="106"/>
      <c r="B7" s="106"/>
      <c r="C7" s="472"/>
      <c r="D7" s="106"/>
      <c r="E7" s="472"/>
      <c r="F7" s="106"/>
      <c r="G7" s="472"/>
      <c r="H7" s="107"/>
      <c r="I7" s="472"/>
      <c r="J7" s="108"/>
      <c r="K7" s="464"/>
      <c r="L7"/>
      <c r="M7"/>
      <c r="N7"/>
      <c r="O7"/>
    </row>
    <row r="8" spans="1:15" s="72" customFormat="1" ht="21.75" customHeight="1">
      <c r="A8" s="69"/>
      <c r="B8" s="110"/>
      <c r="C8" s="465"/>
      <c r="D8" s="110"/>
      <c r="E8" s="465"/>
      <c r="F8" s="110"/>
      <c r="G8" s="465"/>
      <c r="H8" s="110"/>
      <c r="I8" s="465"/>
      <c r="J8" s="110"/>
      <c r="K8" s="465"/>
      <c r="L8"/>
      <c r="M8"/>
      <c r="N8"/>
      <c r="O8"/>
    </row>
    <row r="9" spans="1:15" s="72" customFormat="1" ht="18" customHeight="1">
      <c r="A9" s="87"/>
      <c r="B9" s="104"/>
      <c r="C9" s="461"/>
      <c r="D9" s="64"/>
      <c r="E9" s="475"/>
      <c r="F9" s="104"/>
      <c r="G9" s="461"/>
      <c r="H9" s="104"/>
      <c r="I9" s="461"/>
      <c r="J9" s="51"/>
      <c r="K9" s="466"/>
      <c r="L9"/>
      <c r="M9"/>
      <c r="N9"/>
      <c r="O9"/>
    </row>
    <row r="10" spans="3:11" ht="17.25" customHeight="1">
      <c r="C10" s="467"/>
      <c r="E10" s="467"/>
      <c r="G10" s="467"/>
      <c r="I10" s="467"/>
      <c r="K10" s="467"/>
    </row>
    <row r="11" spans="1:15" s="72" customFormat="1" ht="23.25" customHeight="1">
      <c r="A11" s="185"/>
      <c r="B11" s="100"/>
      <c r="C11" s="470"/>
      <c r="D11" s="100"/>
      <c r="E11" s="470"/>
      <c r="F11" s="100"/>
      <c r="G11" s="470"/>
      <c r="H11" s="101"/>
      <c r="I11" s="470"/>
      <c r="J11" s="87"/>
      <c r="K11" s="460"/>
      <c r="L11"/>
      <c r="M11"/>
      <c r="N11"/>
      <c r="O11"/>
    </row>
    <row r="12" spans="3:11" ht="20.25" customHeight="1">
      <c r="C12" s="467"/>
      <c r="E12" s="467"/>
      <c r="G12" s="467"/>
      <c r="I12" s="467"/>
      <c r="K12" s="467"/>
    </row>
    <row r="13" spans="3:11" ht="20.25" customHeight="1">
      <c r="C13" s="467"/>
      <c r="E13" s="467"/>
      <c r="G13" s="467"/>
      <c r="I13" s="467"/>
      <c r="K13" s="467"/>
    </row>
    <row r="14" spans="3:11" ht="20.25" customHeight="1">
      <c r="C14" s="467"/>
      <c r="E14" s="467"/>
      <c r="G14" s="467"/>
      <c r="I14" s="467"/>
      <c r="K14" s="467"/>
    </row>
    <row r="15" spans="3:11" ht="20.25" customHeight="1">
      <c r="C15" s="467"/>
      <c r="E15" s="467"/>
      <c r="G15" s="467"/>
      <c r="I15" s="467"/>
      <c r="K15" s="467"/>
    </row>
    <row r="16" spans="3:11" ht="20.25" customHeight="1">
      <c r="C16" s="467"/>
      <c r="E16" s="467"/>
      <c r="G16" s="467"/>
      <c r="I16" s="467"/>
      <c r="K16" s="467"/>
    </row>
    <row r="17" spans="3:11" ht="20.25" customHeight="1">
      <c r="C17" s="467"/>
      <c r="E17" s="467"/>
      <c r="G17" s="467"/>
      <c r="I17" s="467"/>
      <c r="K17" s="467"/>
    </row>
    <row r="18" spans="3:11" ht="20.25" customHeight="1">
      <c r="C18" s="467"/>
      <c r="E18" s="467"/>
      <c r="G18" s="467"/>
      <c r="I18" s="467"/>
      <c r="K18" s="467"/>
    </row>
    <row r="19" spans="3:11" ht="20.25" customHeight="1">
      <c r="C19" s="467"/>
      <c r="E19" s="467"/>
      <c r="G19" s="467"/>
      <c r="I19" s="467"/>
      <c r="K19" s="467"/>
    </row>
    <row r="20" spans="3:11" ht="20.25" customHeight="1">
      <c r="C20" s="467"/>
      <c r="E20" s="467"/>
      <c r="G20" s="467"/>
      <c r="I20" s="467"/>
      <c r="K20" s="467"/>
    </row>
    <row r="21" spans="3:11" ht="20.25" customHeight="1">
      <c r="C21" s="467"/>
      <c r="E21" s="467"/>
      <c r="G21" s="467"/>
      <c r="I21" s="467"/>
      <c r="K21" s="467"/>
    </row>
    <row r="22" spans="3:11" ht="20.25" customHeight="1">
      <c r="C22" s="467"/>
      <c r="E22" s="467"/>
      <c r="G22" s="467"/>
      <c r="I22" s="467"/>
      <c r="K22" s="467"/>
    </row>
    <row r="23" spans="3:11" ht="20.25" customHeight="1">
      <c r="C23" s="467"/>
      <c r="E23" s="467"/>
      <c r="G23" s="467"/>
      <c r="I23" s="467"/>
      <c r="K23" s="467"/>
    </row>
    <row r="24" spans="3:11" ht="20.25" customHeight="1">
      <c r="C24" s="467"/>
      <c r="E24" s="467"/>
      <c r="G24" s="467"/>
      <c r="I24" s="467"/>
      <c r="K24" s="467"/>
    </row>
    <row r="25" spans="3:11" ht="20.25" customHeight="1">
      <c r="C25" s="467"/>
      <c r="E25" s="467"/>
      <c r="G25" s="467"/>
      <c r="I25" s="467"/>
      <c r="K25" s="467"/>
    </row>
    <row r="26" spans="3:11" ht="20.25" customHeight="1">
      <c r="C26" s="467"/>
      <c r="E26" s="467"/>
      <c r="G26" s="467"/>
      <c r="I26" s="467"/>
      <c r="K26" s="467"/>
    </row>
    <row r="27" spans="3:11" ht="20.25" customHeight="1">
      <c r="C27" s="467"/>
      <c r="E27" s="467"/>
      <c r="G27" s="467"/>
      <c r="I27" s="467"/>
      <c r="K27" s="467"/>
    </row>
    <row r="28" spans="3:11" ht="20.25" customHeight="1">
      <c r="C28" s="467"/>
      <c r="E28" s="467"/>
      <c r="G28" s="467"/>
      <c r="I28" s="467"/>
      <c r="K28" s="467"/>
    </row>
    <row r="29" spans="3:11" ht="20.25" customHeight="1">
      <c r="C29" s="467"/>
      <c r="E29" s="467"/>
      <c r="G29" s="467"/>
      <c r="I29" s="467"/>
      <c r="K29" s="467"/>
    </row>
    <row r="30" spans="3:11" ht="20.25" customHeight="1">
      <c r="C30" s="467"/>
      <c r="E30" s="467"/>
      <c r="G30" s="467"/>
      <c r="I30" s="467"/>
      <c r="K30" s="467"/>
    </row>
    <row r="31" spans="3:11" ht="20.25" customHeight="1">
      <c r="C31" s="467"/>
      <c r="E31" s="467"/>
      <c r="G31" s="467"/>
      <c r="I31" s="467"/>
      <c r="K31" s="467"/>
    </row>
    <row r="32" spans="3:11" ht="20.25" customHeight="1">
      <c r="C32" s="467"/>
      <c r="E32" s="467"/>
      <c r="G32" s="467"/>
      <c r="I32" s="467"/>
      <c r="K32" s="467"/>
    </row>
    <row r="33" spans="3:11" ht="20.25" customHeight="1">
      <c r="C33" s="467"/>
      <c r="E33" s="467"/>
      <c r="G33" s="467"/>
      <c r="I33" s="467"/>
      <c r="K33" s="467"/>
    </row>
    <row r="34" spans="3:11" ht="20.25" customHeight="1">
      <c r="C34" s="467"/>
      <c r="E34" s="467"/>
      <c r="G34" s="467"/>
      <c r="I34" s="467"/>
      <c r="K34" s="467"/>
    </row>
    <row r="35" spans="3:11" ht="20.25" customHeight="1">
      <c r="C35" s="467"/>
      <c r="E35" s="467"/>
      <c r="G35" s="467"/>
      <c r="I35" s="467"/>
      <c r="K35" s="467"/>
    </row>
    <row r="36" spans="3:11" ht="20.25" customHeight="1">
      <c r="C36" s="467"/>
      <c r="E36" s="467"/>
      <c r="G36" s="467"/>
      <c r="I36" s="467"/>
      <c r="K36" s="467"/>
    </row>
    <row r="37" spans="3:11" ht="20.25" customHeight="1">
      <c r="C37" s="467"/>
      <c r="E37" s="467"/>
      <c r="G37" s="467"/>
      <c r="I37" s="467"/>
      <c r="K37" s="467"/>
    </row>
    <row r="38" spans="3:11" ht="20.25" customHeight="1">
      <c r="C38" s="467"/>
      <c r="E38" s="467"/>
      <c r="G38" s="467"/>
      <c r="I38" s="467"/>
      <c r="K38" s="467"/>
    </row>
    <row r="39" spans="3:11" ht="20.25" customHeight="1">
      <c r="C39" s="467"/>
      <c r="E39" s="467"/>
      <c r="G39" s="467"/>
      <c r="I39" s="467"/>
      <c r="K39" s="467"/>
    </row>
    <row r="40" spans="3:11" ht="20.25" customHeight="1">
      <c r="C40" s="467"/>
      <c r="E40" s="467"/>
      <c r="G40" s="467"/>
      <c r="I40" s="467"/>
      <c r="K40" s="467"/>
    </row>
    <row r="41" spans="3:11" ht="20.25" customHeight="1">
      <c r="C41" s="467"/>
      <c r="E41" s="467"/>
      <c r="G41" s="467"/>
      <c r="I41" s="467"/>
      <c r="K41" s="467"/>
    </row>
    <row r="42" spans="3:11" ht="20.25" customHeight="1">
      <c r="C42" s="467"/>
      <c r="E42" s="467"/>
      <c r="G42" s="467"/>
      <c r="I42" s="467"/>
      <c r="K42" s="467"/>
    </row>
    <row r="43" spans="3:11" ht="20.25" customHeight="1">
      <c r="C43" s="467"/>
      <c r="E43" s="467"/>
      <c r="G43" s="467"/>
      <c r="I43" s="467"/>
      <c r="K43" s="467"/>
    </row>
    <row r="44" spans="3:11" ht="20.25" customHeight="1">
      <c r="C44" s="467"/>
      <c r="E44" s="467"/>
      <c r="G44" s="467"/>
      <c r="I44" s="467"/>
      <c r="K44" s="467"/>
    </row>
    <row r="45" spans="3:11" ht="20.25" customHeight="1">
      <c r="C45" s="467"/>
      <c r="E45" s="467"/>
      <c r="G45" s="467"/>
      <c r="I45" s="467"/>
      <c r="K45" s="467"/>
    </row>
    <row r="46" spans="3:11" ht="20.25" customHeight="1">
      <c r="C46" s="467"/>
      <c r="E46" s="467"/>
      <c r="G46" s="467"/>
      <c r="I46" s="467"/>
      <c r="K46" s="467"/>
    </row>
    <row r="47" spans="3:11" ht="20.25" customHeight="1">
      <c r="C47" s="467"/>
      <c r="E47" s="467"/>
      <c r="G47" s="467"/>
      <c r="I47" s="467"/>
      <c r="K47" s="467"/>
    </row>
    <row r="48" spans="3:11" ht="20.25" customHeight="1">
      <c r="C48" s="467"/>
      <c r="E48" s="467"/>
      <c r="G48" s="467"/>
      <c r="I48" s="467"/>
      <c r="K48" s="467"/>
    </row>
    <row r="49" spans="3:11" ht="20.25" customHeight="1">
      <c r="C49" s="467"/>
      <c r="E49" s="467"/>
      <c r="G49" s="467"/>
      <c r="I49" s="467"/>
      <c r="K49" s="467"/>
    </row>
    <row r="50" spans="3:11" ht="20.25" customHeight="1">
      <c r="C50" s="467"/>
      <c r="E50" s="467"/>
      <c r="G50" s="467"/>
      <c r="I50" s="467"/>
      <c r="K50" s="467"/>
    </row>
    <row r="51" spans="3:11" ht="20.25" customHeight="1">
      <c r="C51" s="467"/>
      <c r="E51" s="467"/>
      <c r="G51" s="467"/>
      <c r="I51" s="467"/>
      <c r="K51" s="467"/>
    </row>
    <row r="52" spans="3:11" ht="20.25" customHeight="1">
      <c r="C52" s="467"/>
      <c r="E52" s="467"/>
      <c r="G52" s="467"/>
      <c r="I52" s="467"/>
      <c r="K52" s="467"/>
    </row>
    <row r="53" spans="3:11" ht="20.25" customHeight="1">
      <c r="C53" s="467"/>
      <c r="E53" s="467"/>
      <c r="G53" s="467"/>
      <c r="I53" s="467"/>
      <c r="K53" s="467"/>
    </row>
    <row r="54" spans="3:11" ht="20.25" customHeight="1">
      <c r="C54" s="467"/>
      <c r="E54" s="467"/>
      <c r="G54" s="467"/>
      <c r="I54" s="467"/>
      <c r="K54" s="467"/>
    </row>
    <row r="55" spans="3:11" ht="20.25" customHeight="1">
      <c r="C55" s="467"/>
      <c r="E55" s="467"/>
      <c r="G55" s="467"/>
      <c r="I55" s="467"/>
      <c r="K55" s="467"/>
    </row>
    <row r="56" spans="3:11" ht="20.25" customHeight="1">
      <c r="C56" s="467"/>
      <c r="E56" s="467"/>
      <c r="G56" s="467"/>
      <c r="I56" s="467"/>
      <c r="K56" s="467"/>
    </row>
    <row r="57" spans="3:11" ht="20.25" customHeight="1">
      <c r="C57" s="467"/>
      <c r="E57" s="467"/>
      <c r="G57" s="467"/>
      <c r="I57" s="467"/>
      <c r="K57" s="467"/>
    </row>
  </sheetData>
  <sheetProtection/>
  <mergeCells count="6">
    <mergeCell ref="A2:A3"/>
    <mergeCell ref="J2:K2"/>
    <mergeCell ref="D2:E2"/>
    <mergeCell ref="B2:C2"/>
    <mergeCell ref="F2:G2"/>
    <mergeCell ref="H2:I2"/>
  </mergeCells>
  <printOptions horizontalCentered="1"/>
  <pageMargins left="0.25" right="0.354330708661417" top="1.04" bottom="0.31" header="0.31" footer="0.2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5"/>
  </sheetPr>
  <dimension ref="A1:AV59"/>
  <sheetViews>
    <sheetView zoomScalePageLayoutView="0" workbookViewId="0" topLeftCell="A1">
      <pane xSplit="1" ySplit="3" topLeftCell="B22" activePane="bottomRight" state="frozen"/>
      <selection pane="topLeft" activeCell="A1" sqref="A1"/>
      <selection pane="topRight" activeCell="B1" sqref="B1"/>
      <selection pane="bottomLeft" activeCell="A4" sqref="A4"/>
      <selection pane="bottomRight" activeCell="A24" sqref="A24"/>
    </sheetView>
  </sheetViews>
  <sheetFormatPr defaultColWidth="9.140625" defaultRowHeight="12.75"/>
  <cols>
    <col min="1" max="1" width="13.57421875" style="114" customWidth="1"/>
    <col min="2" max="2" width="4.7109375" style="139" customWidth="1"/>
    <col min="3" max="3" width="8.140625" style="338" customWidth="1"/>
    <col min="4" max="4" width="4.421875" style="140" customWidth="1"/>
    <col min="5" max="5" width="8.7109375" style="353" customWidth="1"/>
    <col min="6" max="6" width="4.7109375" style="114" customWidth="1"/>
    <col min="7" max="7" width="7.57421875" style="350" customWidth="1"/>
    <col min="8" max="8" width="4.7109375" style="114" customWidth="1"/>
    <col min="9" max="9" width="6.57421875" style="350" customWidth="1"/>
    <col min="10" max="10" width="4.57421875" style="141" customWidth="1"/>
    <col min="11" max="11" width="8.28125" style="114" customWidth="1"/>
    <col min="12" max="12" width="4.421875" style="114" customWidth="1"/>
    <col min="13" max="13" width="9.140625" style="293" customWidth="1"/>
    <col min="14" max="14" width="4.7109375" style="141" customWidth="1"/>
    <col min="15" max="15" width="8.421875" style="140" customWidth="1"/>
    <col min="16" max="16" width="4.57421875" style="140" customWidth="1"/>
    <col min="17" max="17" width="8.421875" style="140" customWidth="1"/>
    <col min="18" max="18" width="4.8515625" style="141" customWidth="1"/>
    <col min="19" max="19" width="7.28125" style="114" customWidth="1"/>
    <col min="20" max="20" width="4.421875" style="114" customWidth="1"/>
    <col min="21" max="21" width="5.7109375" style="114" customWidth="1"/>
    <col min="22" max="22" width="4.7109375" style="141" customWidth="1"/>
    <col min="23" max="23" width="6.7109375" style="114" customWidth="1"/>
    <col min="24" max="24" width="5.00390625" style="141" customWidth="1"/>
    <col min="25" max="25" width="9.57421875" style="350" customWidth="1"/>
    <col min="26" max="26" width="5.28125" style="0" customWidth="1"/>
    <col min="27" max="27" width="10.00390625" style="0" customWidth="1"/>
    <col min="28" max="28" width="15.140625" style="0" customWidth="1"/>
    <col min="29" max="29" width="4.57421875" style="0" customWidth="1"/>
    <col min="30" max="30" width="7.8515625" style="0" customWidth="1"/>
    <col min="31" max="31" width="5.00390625" style="0" customWidth="1"/>
    <col min="33" max="33" width="5.00390625" style="0" customWidth="1"/>
    <col min="35" max="35" width="4.8515625" style="0" customWidth="1"/>
    <col min="37" max="37" width="4.8515625" style="0" customWidth="1"/>
    <col min="39" max="39" width="4.8515625" style="0" customWidth="1"/>
    <col min="41" max="41" width="4.7109375" style="0" customWidth="1"/>
    <col min="43" max="43" width="5.00390625" style="0" customWidth="1"/>
    <col min="45" max="45" width="5.140625" style="0" customWidth="1"/>
    <col min="47" max="47" width="4.8515625" style="0" customWidth="1"/>
    <col min="49" max="49" width="4.8515625" style="114" customWidth="1"/>
    <col min="50" max="50" width="9.140625" style="114" customWidth="1"/>
    <col min="51" max="51" width="4.7109375" style="114" customWidth="1"/>
    <col min="52" max="52" width="9.140625" style="114" customWidth="1"/>
    <col min="53" max="53" width="5.140625" style="114" customWidth="1"/>
    <col min="54" max="54" width="9.140625" style="114" customWidth="1"/>
    <col min="55" max="55" width="5.140625" style="114" customWidth="1"/>
    <col min="56" max="16384" width="9.140625" style="114" customWidth="1"/>
  </cols>
  <sheetData>
    <row r="1" spans="1:48" s="59" customFormat="1" ht="21.75" customHeight="1" thickBot="1">
      <c r="A1" s="187" t="s">
        <v>531</v>
      </c>
      <c r="B1" s="139"/>
      <c r="C1" s="338"/>
      <c r="D1" s="140"/>
      <c r="E1" s="353"/>
      <c r="F1" s="140"/>
      <c r="G1" s="353"/>
      <c r="H1" s="140"/>
      <c r="I1" s="353"/>
      <c r="J1" s="141"/>
      <c r="K1" s="140"/>
      <c r="L1" s="140"/>
      <c r="M1" s="338"/>
      <c r="R1" s="141"/>
      <c r="T1" s="583" t="s">
        <v>483</v>
      </c>
      <c r="V1" s="74"/>
      <c r="W1" s="74"/>
      <c r="X1" s="74"/>
      <c r="Y1" s="344"/>
      <c r="Z1"/>
      <c r="AA1"/>
      <c r="AB1"/>
      <c r="AC1"/>
      <c r="AD1"/>
      <c r="AE1"/>
      <c r="AF1"/>
      <c r="AG1"/>
      <c r="AH1"/>
      <c r="AI1"/>
      <c r="AJ1"/>
      <c r="AK1"/>
      <c r="AL1"/>
      <c r="AM1"/>
      <c r="AN1"/>
      <c r="AO1"/>
      <c r="AP1"/>
      <c r="AQ1"/>
      <c r="AR1"/>
      <c r="AS1"/>
      <c r="AT1"/>
      <c r="AU1"/>
      <c r="AV1"/>
    </row>
    <row r="2" spans="1:48" s="59" customFormat="1" ht="73.5" customHeight="1" thickBot="1">
      <c r="A2" s="1163" t="s">
        <v>473</v>
      </c>
      <c r="B2" s="1165" t="s">
        <v>50</v>
      </c>
      <c r="C2" s="1165"/>
      <c r="D2" s="1167" t="s">
        <v>64</v>
      </c>
      <c r="E2" s="1167"/>
      <c r="F2" s="1188" t="s">
        <v>53</v>
      </c>
      <c r="G2" s="1188"/>
      <c r="H2" s="1188" t="s">
        <v>54</v>
      </c>
      <c r="I2" s="1188"/>
      <c r="J2" s="1190" t="s">
        <v>56</v>
      </c>
      <c r="K2" s="1190"/>
      <c r="L2" s="1188" t="s">
        <v>57</v>
      </c>
      <c r="M2" s="1188"/>
      <c r="N2" s="1166" t="s">
        <v>58</v>
      </c>
      <c r="O2" s="1166"/>
      <c r="P2" s="1166" t="s">
        <v>59</v>
      </c>
      <c r="Q2" s="1166"/>
      <c r="R2" s="1189" t="s">
        <v>60</v>
      </c>
      <c r="S2" s="1189"/>
      <c r="T2" s="1189" t="s">
        <v>61</v>
      </c>
      <c r="U2" s="1189"/>
      <c r="V2" s="1187" t="s">
        <v>71</v>
      </c>
      <c r="W2" s="1187"/>
      <c r="X2" s="1169" t="s">
        <v>481</v>
      </c>
      <c r="Y2" s="1169"/>
      <c r="Z2"/>
      <c r="AA2"/>
      <c r="AB2"/>
      <c r="AC2"/>
      <c r="AD2"/>
      <c r="AE2"/>
      <c r="AF2"/>
      <c r="AG2"/>
      <c r="AH2"/>
      <c r="AI2"/>
      <c r="AJ2"/>
      <c r="AK2"/>
      <c r="AL2"/>
      <c r="AM2"/>
      <c r="AN2"/>
      <c r="AO2"/>
      <c r="AP2"/>
      <c r="AQ2"/>
      <c r="AR2"/>
      <c r="AS2"/>
      <c r="AT2"/>
      <c r="AU2"/>
      <c r="AV2"/>
    </row>
    <row r="3" spans="1:48" s="59" customFormat="1" ht="23.25" customHeight="1" thickBot="1">
      <c r="A3" s="1164"/>
      <c r="B3" s="1115" t="s">
        <v>474</v>
      </c>
      <c r="C3" s="1116" t="s">
        <v>475</v>
      </c>
      <c r="D3" s="1115" t="s">
        <v>474</v>
      </c>
      <c r="E3" s="1116" t="s">
        <v>475</v>
      </c>
      <c r="F3" s="1115" t="s">
        <v>474</v>
      </c>
      <c r="G3" s="1116" t="s">
        <v>475</v>
      </c>
      <c r="H3" s="1115" t="s">
        <v>474</v>
      </c>
      <c r="I3" s="1116" t="s">
        <v>475</v>
      </c>
      <c r="J3" s="1115" t="s">
        <v>474</v>
      </c>
      <c r="K3" s="1116" t="s">
        <v>475</v>
      </c>
      <c r="L3" s="1115" t="s">
        <v>474</v>
      </c>
      <c r="M3" s="1116" t="s">
        <v>475</v>
      </c>
      <c r="N3" s="1115" t="s">
        <v>474</v>
      </c>
      <c r="O3" s="1116" t="s">
        <v>475</v>
      </c>
      <c r="P3" s="1115" t="s">
        <v>474</v>
      </c>
      <c r="Q3" s="1116" t="s">
        <v>475</v>
      </c>
      <c r="R3" s="1115" t="s">
        <v>474</v>
      </c>
      <c r="S3" s="1116" t="s">
        <v>475</v>
      </c>
      <c r="T3" s="1115" t="s">
        <v>474</v>
      </c>
      <c r="U3" s="1116" t="s">
        <v>475</v>
      </c>
      <c r="V3" s="1115" t="s">
        <v>474</v>
      </c>
      <c r="W3" s="1116" t="s">
        <v>475</v>
      </c>
      <c r="X3" s="1115" t="s">
        <v>474</v>
      </c>
      <c r="Y3" s="1116" t="s">
        <v>475</v>
      </c>
      <c r="Z3"/>
      <c r="AA3"/>
      <c r="AB3"/>
      <c r="AC3"/>
      <c r="AD3"/>
      <c r="AE3"/>
      <c r="AF3"/>
      <c r="AG3"/>
      <c r="AH3"/>
      <c r="AI3"/>
      <c r="AJ3"/>
      <c r="AK3"/>
      <c r="AL3"/>
      <c r="AM3"/>
      <c r="AN3"/>
      <c r="AO3"/>
      <c r="AP3"/>
      <c r="AQ3"/>
      <c r="AR3"/>
      <c r="AS3"/>
      <c r="AT3"/>
      <c r="AU3"/>
      <c r="AV3"/>
    </row>
    <row r="4" spans="1:48" s="59" customFormat="1" ht="21.75" customHeight="1">
      <c r="A4" s="1094" t="s">
        <v>480</v>
      </c>
      <c r="B4" s="61"/>
      <c r="C4" s="339"/>
      <c r="D4" s="62"/>
      <c r="E4" s="345"/>
      <c r="F4" s="62"/>
      <c r="G4" s="345"/>
      <c r="H4" s="62"/>
      <c r="I4" s="345"/>
      <c r="J4" s="63"/>
      <c r="K4" s="62"/>
      <c r="L4" s="62"/>
      <c r="M4" s="339"/>
      <c r="N4" s="63"/>
      <c r="O4" s="62"/>
      <c r="P4" s="62"/>
      <c r="Q4" s="62"/>
      <c r="R4" s="63"/>
      <c r="S4" s="62"/>
      <c r="T4" s="62"/>
      <c r="U4" s="62"/>
      <c r="V4" s="63"/>
      <c r="W4" s="62"/>
      <c r="X4" s="63"/>
      <c r="Y4" s="345"/>
      <c r="Z4"/>
      <c r="AA4"/>
      <c r="AB4"/>
      <c r="AC4"/>
      <c r="AD4"/>
      <c r="AE4"/>
      <c r="AF4"/>
      <c r="AG4"/>
      <c r="AH4"/>
      <c r="AI4"/>
      <c r="AJ4"/>
      <c r="AK4"/>
      <c r="AL4"/>
      <c r="AM4"/>
      <c r="AN4"/>
      <c r="AO4"/>
      <c r="AP4"/>
      <c r="AQ4"/>
      <c r="AR4"/>
      <c r="AS4"/>
      <c r="AT4"/>
      <c r="AU4"/>
      <c r="AV4"/>
    </row>
    <row r="5" spans="1:48" s="80" customFormat="1" ht="23.25" customHeight="1">
      <c r="A5" s="112" t="s">
        <v>65</v>
      </c>
      <c r="B5" s="991"/>
      <c r="C5" s="992"/>
      <c r="D5" s="991">
        <v>2</v>
      </c>
      <c r="E5" s="993">
        <v>189.7</v>
      </c>
      <c r="F5" s="991"/>
      <c r="G5" s="993"/>
      <c r="H5" s="991"/>
      <c r="I5" s="993"/>
      <c r="J5" s="991"/>
      <c r="K5" s="991"/>
      <c r="L5" s="994">
        <v>0</v>
      </c>
      <c r="M5" s="992"/>
      <c r="N5" s="991">
        <v>1</v>
      </c>
      <c r="O5" s="991">
        <v>111.4</v>
      </c>
      <c r="P5" s="991"/>
      <c r="Q5" s="991"/>
      <c r="R5" s="991">
        <v>1</v>
      </c>
      <c r="S5" s="991">
        <v>221.5</v>
      </c>
      <c r="T5" s="991"/>
      <c r="U5" s="991"/>
      <c r="V5" s="991"/>
      <c r="W5" s="991"/>
      <c r="X5" s="94">
        <f aca="true" t="shared" si="0" ref="X5:Y8">SUM(B5,D5,H5,F5,J5,L5,N5,P5,R5,T5,V5)</f>
        <v>4</v>
      </c>
      <c r="Y5" s="347">
        <f t="shared" si="0"/>
        <v>522.6</v>
      </c>
      <c r="Z5"/>
      <c r="AA5"/>
      <c r="AB5"/>
      <c r="AC5"/>
      <c r="AD5"/>
      <c r="AE5"/>
      <c r="AF5"/>
      <c r="AG5"/>
      <c r="AH5"/>
      <c r="AI5"/>
      <c r="AJ5"/>
      <c r="AK5"/>
      <c r="AL5"/>
      <c r="AM5"/>
      <c r="AN5"/>
      <c r="AO5"/>
      <c r="AP5"/>
      <c r="AQ5"/>
      <c r="AR5"/>
      <c r="AS5"/>
      <c r="AT5"/>
      <c r="AU5"/>
      <c r="AV5"/>
    </row>
    <row r="6" spans="1:48" s="80" customFormat="1" ht="23.25" customHeight="1">
      <c r="A6" s="112" t="s">
        <v>66</v>
      </c>
      <c r="B6" s="991"/>
      <c r="C6" s="992"/>
      <c r="D6" s="1004">
        <v>2</v>
      </c>
      <c r="E6" s="993">
        <v>299.7</v>
      </c>
      <c r="F6" s="994">
        <v>0</v>
      </c>
      <c r="G6" s="993"/>
      <c r="H6" s="991"/>
      <c r="I6" s="993"/>
      <c r="J6" s="991">
        <v>2</v>
      </c>
      <c r="K6" s="991">
        <v>317.7</v>
      </c>
      <c r="L6" s="1004">
        <v>4</v>
      </c>
      <c r="M6" s="992">
        <v>403.5</v>
      </c>
      <c r="N6" s="991">
        <v>1</v>
      </c>
      <c r="O6" s="991">
        <v>331.2</v>
      </c>
      <c r="P6" s="1004">
        <v>1</v>
      </c>
      <c r="Q6" s="991">
        <v>101.9</v>
      </c>
      <c r="R6" s="991">
        <v>1</v>
      </c>
      <c r="S6" s="993">
        <v>195</v>
      </c>
      <c r="T6" s="991"/>
      <c r="U6" s="991"/>
      <c r="V6" s="991"/>
      <c r="W6" s="991"/>
      <c r="X6" s="94">
        <f t="shared" si="0"/>
        <v>11</v>
      </c>
      <c r="Y6" s="347">
        <f t="shared" si="0"/>
        <v>1649</v>
      </c>
      <c r="Z6"/>
      <c r="AA6"/>
      <c r="AB6"/>
      <c r="AC6"/>
      <c r="AD6"/>
      <c r="AE6"/>
      <c r="AF6"/>
      <c r="AG6"/>
      <c r="AH6"/>
      <c r="AI6"/>
      <c r="AJ6"/>
      <c r="AK6"/>
      <c r="AL6"/>
      <c r="AM6"/>
      <c r="AN6"/>
      <c r="AO6"/>
      <c r="AP6"/>
      <c r="AQ6"/>
      <c r="AR6"/>
      <c r="AS6"/>
      <c r="AT6"/>
      <c r="AU6"/>
      <c r="AV6"/>
    </row>
    <row r="7" spans="1:48" s="80" customFormat="1" ht="23.25" customHeight="1">
      <c r="A7" s="112" t="s">
        <v>67</v>
      </c>
      <c r="B7" s="1004">
        <v>4</v>
      </c>
      <c r="C7" s="1004">
        <v>307</v>
      </c>
      <c r="D7" s="991">
        <v>1</v>
      </c>
      <c r="E7" s="993">
        <v>94.1</v>
      </c>
      <c r="F7" s="991"/>
      <c r="G7" s="993"/>
      <c r="H7" s="991"/>
      <c r="I7" s="993"/>
      <c r="J7" s="991">
        <v>6</v>
      </c>
      <c r="K7" s="991">
        <v>869.6</v>
      </c>
      <c r="L7" s="991">
        <v>5</v>
      </c>
      <c r="M7" s="992">
        <v>586.9</v>
      </c>
      <c r="N7" s="991">
        <v>4</v>
      </c>
      <c r="O7" s="991">
        <v>770.4</v>
      </c>
      <c r="P7" s="1004">
        <v>1</v>
      </c>
      <c r="Q7" s="991">
        <v>155.7</v>
      </c>
      <c r="R7" s="991">
        <v>2</v>
      </c>
      <c r="S7" s="991">
        <v>295.6</v>
      </c>
      <c r="T7" s="991"/>
      <c r="U7" s="991"/>
      <c r="V7" s="991"/>
      <c r="W7" s="991"/>
      <c r="X7" s="94">
        <f t="shared" si="0"/>
        <v>23</v>
      </c>
      <c r="Y7" s="347">
        <f t="shared" si="0"/>
        <v>3079.2999999999997</v>
      </c>
      <c r="Z7"/>
      <c r="AA7"/>
      <c r="AB7"/>
      <c r="AC7"/>
      <c r="AD7"/>
      <c r="AE7"/>
      <c r="AF7"/>
      <c r="AG7"/>
      <c r="AH7"/>
      <c r="AI7"/>
      <c r="AJ7"/>
      <c r="AK7"/>
      <c r="AL7"/>
      <c r="AM7"/>
      <c r="AN7"/>
      <c r="AO7"/>
      <c r="AP7"/>
      <c r="AQ7"/>
      <c r="AR7"/>
      <c r="AS7"/>
      <c r="AT7"/>
      <c r="AU7"/>
      <c r="AV7"/>
    </row>
    <row r="8" spans="1:48" s="80" customFormat="1" ht="23.25" customHeight="1">
      <c r="A8" s="112" t="s">
        <v>68</v>
      </c>
      <c r="B8" s="991">
        <v>1</v>
      </c>
      <c r="C8" s="992">
        <v>160.9</v>
      </c>
      <c r="D8" s="991"/>
      <c r="E8" s="993"/>
      <c r="F8" s="991"/>
      <c r="G8" s="993"/>
      <c r="H8" s="991"/>
      <c r="I8" s="993"/>
      <c r="J8" s="1004">
        <v>1</v>
      </c>
      <c r="K8" s="1020">
        <v>72.4</v>
      </c>
      <c r="L8" s="1004"/>
      <c r="M8" s="992"/>
      <c r="N8" s="1004">
        <v>1</v>
      </c>
      <c r="O8" s="991">
        <v>35.3</v>
      </c>
      <c r="P8" s="1004">
        <v>1</v>
      </c>
      <c r="Q8" s="991">
        <v>104.1</v>
      </c>
      <c r="R8" s="991">
        <v>1</v>
      </c>
      <c r="S8" s="991">
        <v>79.6</v>
      </c>
      <c r="T8" s="991"/>
      <c r="U8" s="991"/>
      <c r="V8" s="994">
        <v>0</v>
      </c>
      <c r="W8" s="991"/>
      <c r="X8" s="94">
        <f t="shared" si="0"/>
        <v>5</v>
      </c>
      <c r="Y8" s="347">
        <f t="shared" si="0"/>
        <v>452.30000000000007</v>
      </c>
      <c r="Z8"/>
      <c r="AA8"/>
      <c r="AB8"/>
      <c r="AC8"/>
      <c r="AD8"/>
      <c r="AE8"/>
      <c r="AF8"/>
      <c r="AG8"/>
      <c r="AH8"/>
      <c r="AI8"/>
      <c r="AJ8"/>
      <c r="AK8"/>
      <c r="AL8"/>
      <c r="AM8"/>
      <c r="AN8"/>
      <c r="AO8"/>
      <c r="AP8"/>
      <c r="AQ8"/>
      <c r="AR8"/>
      <c r="AS8"/>
      <c r="AT8"/>
      <c r="AU8"/>
      <c r="AV8"/>
    </row>
    <row r="9" spans="1:48" s="210" customFormat="1" ht="24.75" customHeight="1">
      <c r="A9" s="1100" t="s">
        <v>492</v>
      </c>
      <c r="B9" s="995"/>
      <c r="C9" s="996"/>
      <c r="D9" s="998"/>
      <c r="E9" s="999"/>
      <c r="F9" s="998"/>
      <c r="G9" s="999"/>
      <c r="H9" s="998"/>
      <c r="I9" s="999"/>
      <c r="J9" s="1021"/>
      <c r="K9" s="1021"/>
      <c r="L9" s="1021"/>
      <c r="M9" s="1000"/>
      <c r="N9" s="998"/>
      <c r="O9" s="1001"/>
      <c r="P9" s="1001"/>
      <c r="Q9" s="1001"/>
      <c r="R9" s="998"/>
      <c r="S9" s="998"/>
      <c r="T9" s="998"/>
      <c r="U9" s="998"/>
      <c r="V9" s="998"/>
      <c r="W9" s="998"/>
      <c r="X9" s="92"/>
      <c r="Y9" s="346"/>
      <c r="Z9" s="357"/>
      <c r="AA9" s="357"/>
      <c r="AB9" s="357"/>
      <c r="AC9" s="357"/>
      <c r="AD9" s="357"/>
      <c r="AE9" s="357"/>
      <c r="AF9" s="357"/>
      <c r="AG9" s="357"/>
      <c r="AH9" s="357"/>
      <c r="AI9" s="357"/>
      <c r="AJ9" s="357"/>
      <c r="AK9" s="357"/>
      <c r="AL9" s="357"/>
      <c r="AM9" s="357"/>
      <c r="AN9" s="357"/>
      <c r="AO9" s="357"/>
      <c r="AP9" s="357"/>
      <c r="AQ9" s="357"/>
      <c r="AR9" s="357"/>
      <c r="AS9" s="357"/>
      <c r="AT9" s="357"/>
      <c r="AU9" s="357"/>
      <c r="AV9" s="357"/>
    </row>
    <row r="10" spans="1:48" s="40" customFormat="1" ht="24" customHeight="1">
      <c r="A10" s="112" t="s">
        <v>74</v>
      </c>
      <c r="B10" s="991">
        <v>1</v>
      </c>
      <c r="C10" s="992">
        <v>73.2</v>
      </c>
      <c r="D10" s="991"/>
      <c r="E10" s="993"/>
      <c r="F10" s="991"/>
      <c r="G10" s="993"/>
      <c r="H10" s="991"/>
      <c r="I10" s="993"/>
      <c r="J10" s="1004">
        <v>0</v>
      </c>
      <c r="K10" s="1004"/>
      <c r="L10" s="1004"/>
      <c r="M10" s="992"/>
      <c r="N10" s="994">
        <v>0</v>
      </c>
      <c r="O10" s="991"/>
      <c r="P10" s="991"/>
      <c r="Q10" s="991"/>
      <c r="R10" s="991"/>
      <c r="S10" s="991"/>
      <c r="T10" s="994">
        <v>0</v>
      </c>
      <c r="U10" s="991"/>
      <c r="V10" s="991"/>
      <c r="W10" s="991"/>
      <c r="X10" s="94">
        <f aca="true" t="shared" si="1" ref="X10:Y12">SUM(B10,D10,H10,F10,J10,L10,N10,P10,R10,T10,V10)</f>
        <v>1</v>
      </c>
      <c r="Y10" s="347">
        <f t="shared" si="1"/>
        <v>73.2</v>
      </c>
      <c r="Z10"/>
      <c r="AA10"/>
      <c r="AB10"/>
      <c r="AC10"/>
      <c r="AD10"/>
      <c r="AE10"/>
      <c r="AF10"/>
      <c r="AG10"/>
      <c r="AH10"/>
      <c r="AI10"/>
      <c r="AJ10"/>
      <c r="AK10"/>
      <c r="AL10"/>
      <c r="AM10"/>
      <c r="AN10"/>
      <c r="AO10"/>
      <c r="AP10"/>
      <c r="AQ10"/>
      <c r="AR10"/>
      <c r="AS10"/>
      <c r="AT10"/>
      <c r="AU10"/>
      <c r="AV10"/>
    </row>
    <row r="11" spans="1:48" s="263" customFormat="1" ht="24" customHeight="1">
      <c r="A11" s="112" t="s">
        <v>75</v>
      </c>
      <c r="B11" s="991"/>
      <c r="C11" s="992"/>
      <c r="D11" s="991"/>
      <c r="E11" s="993"/>
      <c r="F11" s="991"/>
      <c r="G11" s="993"/>
      <c r="H11" s="991"/>
      <c r="I11" s="993"/>
      <c r="J11" s="1004">
        <v>1</v>
      </c>
      <c r="K11" s="1020">
        <v>209.6</v>
      </c>
      <c r="L11" s="1004"/>
      <c r="M11" s="992"/>
      <c r="N11" s="991"/>
      <c r="O11" s="991"/>
      <c r="P11" s="991"/>
      <c r="Q11" s="991"/>
      <c r="R11" s="991"/>
      <c r="S11" s="991"/>
      <c r="T11" s="991"/>
      <c r="U11" s="991"/>
      <c r="V11" s="991"/>
      <c r="W11" s="991"/>
      <c r="X11" s="94">
        <f t="shared" si="1"/>
        <v>1</v>
      </c>
      <c r="Y11" s="347">
        <f t="shared" si="1"/>
        <v>209.6</v>
      </c>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row>
    <row r="12" spans="1:48" s="351" customFormat="1" ht="24" customHeight="1">
      <c r="A12" s="112" t="s">
        <v>70</v>
      </c>
      <c r="B12" s="991">
        <v>1</v>
      </c>
      <c r="C12" s="992">
        <v>177</v>
      </c>
      <c r="D12" s="991"/>
      <c r="E12" s="993"/>
      <c r="F12" s="991"/>
      <c r="G12" s="993"/>
      <c r="H12" s="991"/>
      <c r="I12" s="993"/>
      <c r="J12" s="991"/>
      <c r="K12" s="991"/>
      <c r="L12" s="991"/>
      <c r="M12" s="992"/>
      <c r="N12" s="991">
        <v>1</v>
      </c>
      <c r="O12" s="991">
        <v>134.7</v>
      </c>
      <c r="P12" s="991"/>
      <c r="Q12" s="991"/>
      <c r="R12" s="994">
        <v>0</v>
      </c>
      <c r="S12" s="991"/>
      <c r="T12" s="991"/>
      <c r="U12" s="991"/>
      <c r="V12" s="991"/>
      <c r="W12" s="991"/>
      <c r="X12" s="94">
        <f t="shared" si="1"/>
        <v>2</v>
      </c>
      <c r="Y12" s="347">
        <f t="shared" si="1"/>
        <v>311.7</v>
      </c>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row>
    <row r="13" spans="1:48" s="358" customFormat="1" ht="21" customHeight="1">
      <c r="A13" s="1094" t="s">
        <v>493</v>
      </c>
      <c r="B13" s="995"/>
      <c r="C13" s="1002"/>
      <c r="D13" s="995"/>
      <c r="E13" s="1003"/>
      <c r="F13" s="995"/>
      <c r="G13" s="1003"/>
      <c r="H13" s="995"/>
      <c r="I13" s="1003"/>
      <c r="J13" s="995"/>
      <c r="K13" s="995"/>
      <c r="L13" s="995"/>
      <c r="M13" s="1002"/>
      <c r="N13" s="995"/>
      <c r="O13" s="995"/>
      <c r="P13" s="995"/>
      <c r="Q13" s="995"/>
      <c r="R13" s="995"/>
      <c r="S13" s="995"/>
      <c r="T13" s="995"/>
      <c r="U13" s="995"/>
      <c r="V13" s="995"/>
      <c r="W13" s="995"/>
      <c r="X13" s="92"/>
      <c r="Y13" s="346"/>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357"/>
    </row>
    <row r="14" spans="1:48" s="351" customFormat="1" ht="24" customHeight="1">
      <c r="A14" s="112" t="s">
        <v>69</v>
      </c>
      <c r="B14" s="991"/>
      <c r="C14" s="992"/>
      <c r="D14" s="1004">
        <v>1</v>
      </c>
      <c r="E14" s="993">
        <v>225.9</v>
      </c>
      <c r="F14" s="1004">
        <v>1</v>
      </c>
      <c r="G14" s="993">
        <v>69.3</v>
      </c>
      <c r="H14" s="991"/>
      <c r="I14" s="991"/>
      <c r="J14" s="991"/>
      <c r="K14" s="991"/>
      <c r="L14" s="1004">
        <v>1</v>
      </c>
      <c r="M14" s="992">
        <v>245.6</v>
      </c>
      <c r="N14" s="991"/>
      <c r="O14" s="991"/>
      <c r="P14" s="991"/>
      <c r="Q14" s="991"/>
      <c r="R14" s="991"/>
      <c r="S14" s="991"/>
      <c r="T14" s="991"/>
      <c r="U14" s="991"/>
      <c r="V14" s="991"/>
      <c r="W14" s="991"/>
      <c r="X14" s="94">
        <f>SUM(B14,D14,H14,F14,J14,L14,N14,P14,R14,T14,V14)</f>
        <v>3</v>
      </c>
      <c r="Y14" s="347">
        <f>SUM(C14,E14,I14,G14,K14,M14,O14,Q14,S14,U14,W14)</f>
        <v>540.8</v>
      </c>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row>
    <row r="15" spans="1:48" s="210" customFormat="1" ht="23.25" customHeight="1">
      <c r="A15" s="1103" t="s">
        <v>494</v>
      </c>
      <c r="B15" s="995"/>
      <c r="C15" s="996"/>
      <c r="D15" s="998"/>
      <c r="E15" s="999"/>
      <c r="F15" s="1001"/>
      <c r="G15" s="997"/>
      <c r="H15" s="1001"/>
      <c r="I15" s="997"/>
      <c r="J15" s="998"/>
      <c r="K15" s="1001"/>
      <c r="L15" s="1001"/>
      <c r="M15" s="996"/>
      <c r="N15" s="998"/>
      <c r="O15" s="1001"/>
      <c r="P15" s="1001"/>
      <c r="Q15" s="1001"/>
      <c r="R15" s="998"/>
      <c r="S15" s="1001"/>
      <c r="T15" s="1001"/>
      <c r="U15" s="1001"/>
      <c r="V15" s="998"/>
      <c r="W15" s="1001"/>
      <c r="X15" s="92"/>
      <c r="Y15" s="346"/>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row>
    <row r="16" spans="1:48" s="40" customFormat="1" ht="23.25" customHeight="1">
      <c r="A16" s="112" t="s">
        <v>77</v>
      </c>
      <c r="B16" s="991">
        <v>5</v>
      </c>
      <c r="C16" s="992">
        <v>657.2</v>
      </c>
      <c r="D16" s="991">
        <v>1</v>
      </c>
      <c r="E16" s="993">
        <v>177.1</v>
      </c>
      <c r="F16" s="991"/>
      <c r="G16" s="993"/>
      <c r="H16" s="991">
        <v>1</v>
      </c>
      <c r="I16" s="993">
        <v>127.1</v>
      </c>
      <c r="J16" s="991"/>
      <c r="K16" s="991"/>
      <c r="L16" s="994">
        <v>0</v>
      </c>
      <c r="M16" s="992"/>
      <c r="N16" s="991">
        <v>1</v>
      </c>
      <c r="O16" s="991">
        <v>102.9</v>
      </c>
      <c r="P16" s="991">
        <v>2</v>
      </c>
      <c r="Q16" s="991">
        <v>767.6</v>
      </c>
      <c r="R16" s="994"/>
      <c r="S16" s="991"/>
      <c r="T16" s="991"/>
      <c r="U16" s="991"/>
      <c r="V16" s="994">
        <v>0</v>
      </c>
      <c r="W16" s="991"/>
      <c r="X16" s="94">
        <f aca="true" t="shared" si="2" ref="X16:Y21">SUM(B16,D16,H16,F16,J16,L16,N16,P16,R16,T16,V16)</f>
        <v>10</v>
      </c>
      <c r="Y16" s="347">
        <f t="shared" si="2"/>
        <v>1831.9</v>
      </c>
      <c r="Z16"/>
      <c r="AA16"/>
      <c r="AB16"/>
      <c r="AC16"/>
      <c r="AD16"/>
      <c r="AE16"/>
      <c r="AF16"/>
      <c r="AG16"/>
      <c r="AH16"/>
      <c r="AI16"/>
      <c r="AJ16"/>
      <c r="AK16"/>
      <c r="AL16"/>
      <c r="AM16"/>
      <c r="AN16"/>
      <c r="AO16"/>
      <c r="AP16"/>
      <c r="AQ16"/>
      <c r="AR16"/>
      <c r="AS16"/>
      <c r="AT16"/>
      <c r="AU16"/>
      <c r="AV16"/>
    </row>
    <row r="17" spans="1:48" s="40" customFormat="1" ht="23.25" customHeight="1">
      <c r="A17" s="112" t="s">
        <v>72</v>
      </c>
      <c r="B17" s="1004">
        <v>2</v>
      </c>
      <c r="C17" s="992">
        <v>234.8</v>
      </c>
      <c r="D17" s="991"/>
      <c r="E17" s="993"/>
      <c r="F17" s="1004">
        <v>1</v>
      </c>
      <c r="G17" s="993">
        <v>112</v>
      </c>
      <c r="H17" s="991"/>
      <c r="I17" s="993"/>
      <c r="J17" s="994">
        <v>0</v>
      </c>
      <c r="K17" s="991"/>
      <c r="L17" s="991"/>
      <c r="M17" s="992"/>
      <c r="N17" s="991"/>
      <c r="O17" s="991"/>
      <c r="P17" s="991">
        <v>3</v>
      </c>
      <c r="Q17" s="991">
        <v>889.8</v>
      </c>
      <c r="R17" s="991"/>
      <c r="S17" s="991"/>
      <c r="T17" s="991"/>
      <c r="U17" s="991"/>
      <c r="V17" s="1004">
        <v>1</v>
      </c>
      <c r="W17" s="991">
        <v>7.7</v>
      </c>
      <c r="X17" s="94">
        <f t="shared" si="2"/>
        <v>7</v>
      </c>
      <c r="Y17" s="347">
        <f t="shared" si="2"/>
        <v>1244.3</v>
      </c>
      <c r="Z17"/>
      <c r="AA17"/>
      <c r="AB17"/>
      <c r="AC17"/>
      <c r="AD17"/>
      <c r="AE17"/>
      <c r="AF17"/>
      <c r="AG17"/>
      <c r="AH17"/>
      <c r="AI17"/>
      <c r="AJ17"/>
      <c r="AK17"/>
      <c r="AL17"/>
      <c r="AM17"/>
      <c r="AN17"/>
      <c r="AO17"/>
      <c r="AP17"/>
      <c r="AQ17"/>
      <c r="AR17"/>
      <c r="AS17"/>
      <c r="AT17"/>
      <c r="AU17"/>
      <c r="AV17"/>
    </row>
    <row r="18" spans="1:48" s="40" customFormat="1" ht="23.25" customHeight="1">
      <c r="A18" s="112" t="s">
        <v>98</v>
      </c>
      <c r="B18" s="991"/>
      <c r="C18" s="992"/>
      <c r="D18" s="991"/>
      <c r="E18" s="993"/>
      <c r="F18" s="994">
        <v>0</v>
      </c>
      <c r="G18" s="993"/>
      <c r="H18" s="991">
        <v>1</v>
      </c>
      <c r="I18" s="993">
        <v>133.8</v>
      </c>
      <c r="J18" s="994">
        <v>0</v>
      </c>
      <c r="K18" s="991"/>
      <c r="L18" s="1004">
        <v>1</v>
      </c>
      <c r="M18" s="992">
        <v>166.5</v>
      </c>
      <c r="N18" s="991">
        <v>5</v>
      </c>
      <c r="O18" s="991">
        <v>850.2</v>
      </c>
      <c r="P18" s="994">
        <v>0</v>
      </c>
      <c r="Q18" s="991"/>
      <c r="R18" s="1004">
        <v>1</v>
      </c>
      <c r="S18" s="991">
        <v>90.2</v>
      </c>
      <c r="T18" s="991"/>
      <c r="U18" s="991"/>
      <c r="V18" s="1004">
        <v>1</v>
      </c>
      <c r="W18" s="991">
        <v>7.7</v>
      </c>
      <c r="X18" s="94">
        <f t="shared" si="2"/>
        <v>9</v>
      </c>
      <c r="Y18" s="347">
        <f t="shared" si="2"/>
        <v>1248.4</v>
      </c>
      <c r="Z18"/>
      <c r="AA18"/>
      <c r="AB18"/>
      <c r="AC18"/>
      <c r="AD18"/>
      <c r="AE18"/>
      <c r="AF18"/>
      <c r="AG18"/>
      <c r="AH18"/>
      <c r="AI18"/>
      <c r="AJ18"/>
      <c r="AK18"/>
      <c r="AL18"/>
      <c r="AM18"/>
      <c r="AN18"/>
      <c r="AO18"/>
      <c r="AP18"/>
      <c r="AQ18"/>
      <c r="AR18"/>
      <c r="AS18"/>
      <c r="AT18"/>
      <c r="AU18"/>
      <c r="AV18"/>
    </row>
    <row r="19" spans="1:48" s="40" customFormat="1" ht="23.25" customHeight="1">
      <c r="A19" s="112" t="s">
        <v>78</v>
      </c>
      <c r="B19" s="991">
        <v>3</v>
      </c>
      <c r="C19" s="992">
        <v>373.7</v>
      </c>
      <c r="D19" s="991">
        <v>1</v>
      </c>
      <c r="E19" s="993">
        <v>176.9</v>
      </c>
      <c r="F19" s="994">
        <v>0</v>
      </c>
      <c r="G19" s="993"/>
      <c r="H19" s="994">
        <v>0</v>
      </c>
      <c r="I19" s="993"/>
      <c r="J19" s="991">
        <v>1</v>
      </c>
      <c r="K19" s="991">
        <v>317.9</v>
      </c>
      <c r="L19" s="1004">
        <v>1</v>
      </c>
      <c r="M19" s="992">
        <v>169.2</v>
      </c>
      <c r="N19" s="991">
        <v>7</v>
      </c>
      <c r="O19" s="991">
        <v>1090.2</v>
      </c>
      <c r="P19" s="1004">
        <v>1</v>
      </c>
      <c r="Q19" s="993">
        <v>114</v>
      </c>
      <c r="R19" s="1004">
        <v>1</v>
      </c>
      <c r="S19" s="991">
        <v>7.7</v>
      </c>
      <c r="T19" s="991"/>
      <c r="U19" s="991"/>
      <c r="V19" s="991"/>
      <c r="W19" s="991"/>
      <c r="X19" s="94">
        <f t="shared" si="2"/>
        <v>15</v>
      </c>
      <c r="Y19" s="347">
        <f t="shared" si="2"/>
        <v>2249.6</v>
      </c>
      <c r="Z19"/>
      <c r="AA19"/>
      <c r="AB19"/>
      <c r="AC19"/>
      <c r="AD19"/>
      <c r="AE19"/>
      <c r="AF19"/>
      <c r="AG19"/>
      <c r="AH19"/>
      <c r="AI19"/>
      <c r="AJ19"/>
      <c r="AK19"/>
      <c r="AL19"/>
      <c r="AM19"/>
      <c r="AN19"/>
      <c r="AO19"/>
      <c r="AP19"/>
      <c r="AQ19"/>
      <c r="AR19"/>
      <c r="AS19"/>
      <c r="AT19"/>
      <c r="AU19"/>
      <c r="AV19"/>
    </row>
    <row r="20" spans="1:48" s="40" customFormat="1" ht="23.25" customHeight="1">
      <c r="A20" s="112" t="s">
        <v>99</v>
      </c>
      <c r="B20" s="991">
        <v>1</v>
      </c>
      <c r="C20" s="992">
        <v>86.7</v>
      </c>
      <c r="D20" s="991">
        <v>1</v>
      </c>
      <c r="E20" s="993">
        <v>104.5</v>
      </c>
      <c r="F20" s="991"/>
      <c r="G20" s="993"/>
      <c r="H20" s="994">
        <v>0</v>
      </c>
      <c r="I20" s="993"/>
      <c r="J20" s="991"/>
      <c r="K20" s="991"/>
      <c r="L20" s="991"/>
      <c r="M20" s="992"/>
      <c r="N20" s="991">
        <v>5</v>
      </c>
      <c r="O20" s="991">
        <v>674.2</v>
      </c>
      <c r="P20" s="991"/>
      <c r="Q20" s="991"/>
      <c r="R20" s="991"/>
      <c r="S20" s="991"/>
      <c r="T20" s="991"/>
      <c r="U20" s="991"/>
      <c r="V20" s="991"/>
      <c r="W20" s="991"/>
      <c r="X20" s="94">
        <f t="shared" si="2"/>
        <v>7</v>
      </c>
      <c r="Y20" s="347">
        <f t="shared" si="2"/>
        <v>865.4000000000001</v>
      </c>
      <c r="Z20"/>
      <c r="AA20"/>
      <c r="AB20"/>
      <c r="AC20"/>
      <c r="AD20"/>
      <c r="AE20"/>
      <c r="AF20"/>
      <c r="AG20"/>
      <c r="AH20"/>
      <c r="AI20"/>
      <c r="AJ20"/>
      <c r="AK20"/>
      <c r="AL20"/>
      <c r="AM20"/>
      <c r="AN20"/>
      <c r="AO20"/>
      <c r="AP20"/>
      <c r="AQ20"/>
      <c r="AR20"/>
      <c r="AS20"/>
      <c r="AT20"/>
      <c r="AU20"/>
      <c r="AV20"/>
    </row>
    <row r="21" spans="1:48" s="351" customFormat="1" ht="23.25" customHeight="1">
      <c r="A21" s="112" t="s">
        <v>79</v>
      </c>
      <c r="B21" s="991">
        <v>5</v>
      </c>
      <c r="C21" s="992">
        <v>527.3</v>
      </c>
      <c r="D21" s="991"/>
      <c r="E21" s="993"/>
      <c r="F21" s="991"/>
      <c r="G21" s="993"/>
      <c r="H21" s="991"/>
      <c r="I21" s="993"/>
      <c r="J21" s="991">
        <v>2</v>
      </c>
      <c r="K21" s="991">
        <v>258.4</v>
      </c>
      <c r="L21" s="1004">
        <v>2</v>
      </c>
      <c r="M21" s="992">
        <v>455.8</v>
      </c>
      <c r="N21" s="991">
        <v>1</v>
      </c>
      <c r="O21" s="991">
        <v>136.2</v>
      </c>
      <c r="P21" s="1004">
        <v>2</v>
      </c>
      <c r="Q21" s="991">
        <v>212.6</v>
      </c>
      <c r="R21" s="991"/>
      <c r="S21" s="991"/>
      <c r="T21" s="1004">
        <v>1</v>
      </c>
      <c r="U21" s="991">
        <v>27.4</v>
      </c>
      <c r="V21" s="991"/>
      <c r="W21" s="991"/>
      <c r="X21" s="94">
        <f t="shared" si="2"/>
        <v>13</v>
      </c>
      <c r="Y21" s="347">
        <f t="shared" si="2"/>
        <v>1617.7</v>
      </c>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row>
    <row r="22" spans="1:48" s="358" customFormat="1" ht="23.25" customHeight="1">
      <c r="A22" s="14" t="s">
        <v>495</v>
      </c>
      <c r="B22" s="995"/>
      <c r="C22" s="1005"/>
      <c r="D22" s="995"/>
      <c r="E22" s="1006"/>
      <c r="F22" s="995"/>
      <c r="G22" s="1006"/>
      <c r="H22" s="995"/>
      <c r="I22" s="1006"/>
      <c r="J22" s="995"/>
      <c r="K22" s="1007"/>
      <c r="L22" s="995"/>
      <c r="M22" s="1005"/>
      <c r="N22" s="995"/>
      <c r="O22" s="1007"/>
      <c r="P22" s="995"/>
      <c r="Q22" s="1007"/>
      <c r="R22" s="995"/>
      <c r="S22" s="1007"/>
      <c r="T22" s="995"/>
      <c r="U22" s="1007"/>
      <c r="V22" s="995"/>
      <c r="W22" s="1007"/>
      <c r="X22" s="92"/>
      <c r="Y22" s="346"/>
      <c r="Z22" s="357"/>
      <c r="AA22" s="357"/>
      <c r="AB22" s="357"/>
      <c r="AC22" s="357"/>
      <c r="AD22" s="357"/>
      <c r="AE22" s="357"/>
      <c r="AF22" s="357"/>
      <c r="AG22" s="357"/>
      <c r="AH22" s="357"/>
      <c r="AI22" s="357"/>
      <c r="AJ22" s="357"/>
      <c r="AK22" s="357"/>
      <c r="AL22" s="357"/>
      <c r="AM22" s="357"/>
      <c r="AN22" s="357"/>
      <c r="AO22" s="357"/>
      <c r="AP22" s="357"/>
      <c r="AQ22" s="357"/>
      <c r="AR22" s="357"/>
      <c r="AS22" s="357"/>
      <c r="AT22" s="357"/>
      <c r="AU22" s="357"/>
      <c r="AV22" s="357"/>
    </row>
    <row r="23" spans="1:48" s="263" customFormat="1" ht="23.25" customHeight="1">
      <c r="A23" s="171" t="s">
        <v>112</v>
      </c>
      <c r="B23" s="1008">
        <v>1</v>
      </c>
      <c r="C23" s="1009">
        <v>186.5</v>
      </c>
      <c r="D23" s="1008"/>
      <c r="E23" s="1010"/>
      <c r="F23" s="1008"/>
      <c r="G23" s="1010"/>
      <c r="H23" s="1008"/>
      <c r="I23" s="1010"/>
      <c r="J23" s="1008"/>
      <c r="K23" s="1009"/>
      <c r="L23" s="1008">
        <v>1</v>
      </c>
      <c r="M23" s="1009">
        <v>98.6</v>
      </c>
      <c r="N23" s="1008">
        <v>3</v>
      </c>
      <c r="O23" s="1009">
        <v>632</v>
      </c>
      <c r="P23" s="1008"/>
      <c r="Q23" s="1011"/>
      <c r="R23" s="1008"/>
      <c r="S23" s="1011"/>
      <c r="T23" s="1008"/>
      <c r="U23" s="1011"/>
      <c r="V23" s="1008"/>
      <c r="W23" s="1011"/>
      <c r="X23" s="165">
        <f>SUM(B23,,D23,H23,F23,J23,L23,N23,P23,R23,T23,V23)</f>
        <v>5</v>
      </c>
      <c r="Y23" s="388">
        <f>SUM(C23,E23,I23,G23,K23,M23,O23,Q23,S23,U23,W23)</f>
        <v>917.1</v>
      </c>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row>
    <row r="24" spans="1:23" ht="21.75">
      <c r="A24" s="1103" t="s">
        <v>496</v>
      </c>
      <c r="B24" s="1012"/>
      <c r="C24" s="1013"/>
      <c r="D24" s="1015"/>
      <c r="E24" s="1014"/>
      <c r="F24" s="1016"/>
      <c r="G24" s="1017"/>
      <c r="H24" s="1016"/>
      <c r="I24" s="1017"/>
      <c r="J24" s="1018"/>
      <c r="K24" s="1016"/>
      <c r="L24" s="1016"/>
      <c r="M24" s="1019"/>
      <c r="N24" s="1018"/>
      <c r="O24" s="1015"/>
      <c r="P24" s="1015"/>
      <c r="Q24" s="1015"/>
      <c r="R24" s="1018"/>
      <c r="S24" s="1016"/>
      <c r="T24" s="1016"/>
      <c r="U24" s="1016"/>
      <c r="V24" s="1018"/>
      <c r="W24" s="1016"/>
    </row>
    <row r="25" spans="1:25" ht="20.25" customHeight="1">
      <c r="A25" s="112" t="s">
        <v>261</v>
      </c>
      <c r="B25" s="1012">
        <v>1</v>
      </c>
      <c r="C25" s="1013">
        <v>109.1</v>
      </c>
      <c r="D25" s="1015"/>
      <c r="E25" s="1014"/>
      <c r="F25" s="1016"/>
      <c r="G25" s="1017"/>
      <c r="H25" s="1016"/>
      <c r="I25" s="1017"/>
      <c r="J25" s="1018"/>
      <c r="K25" s="1016"/>
      <c r="L25" s="1016"/>
      <c r="M25" s="1019"/>
      <c r="N25" s="1018"/>
      <c r="O25" s="1015"/>
      <c r="P25" s="1015"/>
      <c r="Q25" s="1015"/>
      <c r="R25" s="1018"/>
      <c r="S25" s="1016"/>
      <c r="T25" s="1016"/>
      <c r="U25" s="1016"/>
      <c r="V25" s="1018"/>
      <c r="W25" s="1016"/>
      <c r="X25" s="94">
        <f aca="true" t="shared" si="3" ref="X25:Y29">SUM(B25,D25,H25,F25,J25,L25,N25,P25,R25,T25,V25)</f>
        <v>1</v>
      </c>
      <c r="Y25" s="347">
        <f t="shared" si="3"/>
        <v>109.1</v>
      </c>
    </row>
    <row r="26" spans="1:25" ht="18.75" customHeight="1">
      <c r="A26" s="112" t="s">
        <v>396</v>
      </c>
      <c r="B26" s="1012"/>
      <c r="C26" s="1013"/>
      <c r="D26" s="1015">
        <v>1</v>
      </c>
      <c r="E26" s="1014">
        <v>415.7</v>
      </c>
      <c r="F26" s="1016"/>
      <c r="G26" s="1017"/>
      <c r="H26" s="1016"/>
      <c r="I26" s="1017"/>
      <c r="J26" s="1018"/>
      <c r="K26" s="1016"/>
      <c r="L26" s="1016">
        <v>1</v>
      </c>
      <c r="M26" s="1019">
        <v>281.3</v>
      </c>
      <c r="N26" s="1018"/>
      <c r="O26" s="1013"/>
      <c r="P26" s="1015"/>
      <c r="Q26" s="1015"/>
      <c r="R26" s="1018"/>
      <c r="S26" s="1016"/>
      <c r="T26" s="1016"/>
      <c r="U26" s="1016"/>
      <c r="V26" s="1018"/>
      <c r="W26" s="1016"/>
      <c r="X26" s="94">
        <f t="shared" si="3"/>
        <v>2</v>
      </c>
      <c r="Y26" s="347">
        <f t="shared" si="3"/>
        <v>697</v>
      </c>
    </row>
    <row r="27" spans="1:25" ht="18.75" customHeight="1">
      <c r="A27" s="112" t="s">
        <v>101</v>
      </c>
      <c r="B27" s="1012"/>
      <c r="C27" s="1013"/>
      <c r="D27" s="1015">
        <v>1</v>
      </c>
      <c r="E27" s="1014">
        <v>177</v>
      </c>
      <c r="F27" s="1016"/>
      <c r="G27" s="1017"/>
      <c r="H27" s="1016"/>
      <c r="I27" s="1017"/>
      <c r="J27" s="1018"/>
      <c r="K27" s="1016"/>
      <c r="L27" s="1016"/>
      <c r="M27" s="1019"/>
      <c r="N27" s="1018">
        <v>2</v>
      </c>
      <c r="O27" s="1013">
        <v>359.7</v>
      </c>
      <c r="P27" s="1015"/>
      <c r="Q27" s="1015"/>
      <c r="R27" s="1018"/>
      <c r="S27" s="1016"/>
      <c r="T27" s="1016"/>
      <c r="U27" s="1016"/>
      <c r="V27" s="1018"/>
      <c r="W27" s="1016"/>
      <c r="X27" s="94">
        <f t="shared" si="3"/>
        <v>3</v>
      </c>
      <c r="Y27" s="347">
        <f t="shared" si="3"/>
        <v>536.7</v>
      </c>
    </row>
    <row r="28" spans="1:25" ht="18.75" customHeight="1">
      <c r="A28" s="112" t="s">
        <v>397</v>
      </c>
      <c r="B28" s="1012">
        <v>1</v>
      </c>
      <c r="C28" s="1013">
        <v>109.5</v>
      </c>
      <c r="D28" s="1015">
        <v>1</v>
      </c>
      <c r="E28" s="1014">
        <v>120.6</v>
      </c>
      <c r="F28" s="1016"/>
      <c r="G28" s="1017"/>
      <c r="H28" s="1016"/>
      <c r="I28" s="1017"/>
      <c r="J28" s="1018"/>
      <c r="K28" s="1016"/>
      <c r="L28" s="1016"/>
      <c r="M28" s="1019"/>
      <c r="N28" s="1018">
        <v>3</v>
      </c>
      <c r="O28" s="1013">
        <v>391.9</v>
      </c>
      <c r="P28" s="1015"/>
      <c r="Q28" s="1015"/>
      <c r="R28" s="1018"/>
      <c r="S28" s="1016"/>
      <c r="T28" s="1016"/>
      <c r="U28" s="1016"/>
      <c r="V28" s="1018"/>
      <c r="W28" s="1016"/>
      <c r="X28" s="94">
        <f t="shared" si="3"/>
        <v>5</v>
      </c>
      <c r="Y28" s="347">
        <f t="shared" si="3"/>
        <v>622</v>
      </c>
    </row>
    <row r="29" spans="1:25" ht="18.75" customHeight="1" thickBot="1">
      <c r="A29" s="112" t="s">
        <v>108</v>
      </c>
      <c r="B29" s="1012"/>
      <c r="C29" s="1013"/>
      <c r="D29" s="1015"/>
      <c r="E29" s="1014"/>
      <c r="F29" s="1016"/>
      <c r="G29" s="1017"/>
      <c r="H29" s="1016"/>
      <c r="I29" s="1017"/>
      <c r="J29" s="1018">
        <v>1</v>
      </c>
      <c r="K29" s="1016">
        <v>18.6</v>
      </c>
      <c r="L29" s="1016"/>
      <c r="M29" s="1019"/>
      <c r="N29" s="1018">
        <v>1</v>
      </c>
      <c r="O29" s="1013">
        <v>134.3</v>
      </c>
      <c r="P29" s="1015"/>
      <c r="Q29" s="1015"/>
      <c r="R29" s="1018"/>
      <c r="S29" s="1016"/>
      <c r="T29" s="1016"/>
      <c r="U29" s="1016"/>
      <c r="V29" s="1018"/>
      <c r="W29" s="1016"/>
      <c r="X29" s="94">
        <f t="shared" si="3"/>
        <v>2</v>
      </c>
      <c r="Y29" s="347">
        <f t="shared" si="3"/>
        <v>152.9</v>
      </c>
    </row>
    <row r="30" spans="1:48" s="40" customFormat="1" ht="22.5" customHeight="1" thickBot="1">
      <c r="A30" s="262" t="s">
        <v>507</v>
      </c>
      <c r="B30" s="162">
        <f aca="true" t="shared" si="4" ref="B30:Y30">SUM(B5:B29)</f>
        <v>26</v>
      </c>
      <c r="C30" s="340">
        <f t="shared" si="4"/>
        <v>3002.9</v>
      </c>
      <c r="D30" s="162">
        <f t="shared" si="4"/>
        <v>12</v>
      </c>
      <c r="E30" s="340">
        <f t="shared" si="4"/>
        <v>1981.2</v>
      </c>
      <c r="F30" s="162">
        <f t="shared" si="4"/>
        <v>2</v>
      </c>
      <c r="G30" s="340">
        <f t="shared" si="4"/>
        <v>181.3</v>
      </c>
      <c r="H30" s="162">
        <f t="shared" si="4"/>
        <v>2</v>
      </c>
      <c r="I30" s="340">
        <f t="shared" si="4"/>
        <v>260.9</v>
      </c>
      <c r="J30" s="162">
        <f t="shared" si="4"/>
        <v>14</v>
      </c>
      <c r="K30" s="340">
        <f t="shared" si="4"/>
        <v>2064.2</v>
      </c>
      <c r="L30" s="162">
        <f t="shared" si="4"/>
        <v>16</v>
      </c>
      <c r="M30" s="340">
        <f t="shared" si="4"/>
        <v>2407.4</v>
      </c>
      <c r="N30" s="162">
        <f t="shared" si="4"/>
        <v>36</v>
      </c>
      <c r="O30" s="340">
        <f t="shared" si="4"/>
        <v>5754.599999999999</v>
      </c>
      <c r="P30" s="162">
        <f t="shared" si="4"/>
        <v>11</v>
      </c>
      <c r="Q30" s="340">
        <f t="shared" si="4"/>
        <v>2345.7000000000003</v>
      </c>
      <c r="R30" s="162">
        <f t="shared" si="4"/>
        <v>7</v>
      </c>
      <c r="S30" s="340">
        <f t="shared" si="4"/>
        <v>889.6000000000001</v>
      </c>
      <c r="T30" s="162">
        <f t="shared" si="4"/>
        <v>1</v>
      </c>
      <c r="U30" s="340">
        <f t="shared" si="4"/>
        <v>27.4</v>
      </c>
      <c r="V30" s="162">
        <f t="shared" si="4"/>
        <v>2</v>
      </c>
      <c r="W30" s="340">
        <f t="shared" si="4"/>
        <v>15.4</v>
      </c>
      <c r="X30" s="162">
        <f t="shared" si="4"/>
        <v>129</v>
      </c>
      <c r="Y30" s="340">
        <f t="shared" si="4"/>
        <v>18930.6</v>
      </c>
      <c r="Z30"/>
      <c r="AA30"/>
      <c r="AB30"/>
      <c r="AC30"/>
      <c r="AD30"/>
      <c r="AE30"/>
      <c r="AF30"/>
      <c r="AG30"/>
      <c r="AH30"/>
      <c r="AI30"/>
      <c r="AJ30"/>
      <c r="AK30"/>
      <c r="AL30"/>
      <c r="AM30"/>
      <c r="AN30"/>
      <c r="AO30"/>
      <c r="AP30"/>
      <c r="AQ30"/>
      <c r="AR30"/>
      <c r="AS30"/>
      <c r="AT30"/>
      <c r="AU30"/>
      <c r="AV30"/>
    </row>
    <row r="31" spans="1:48" s="59" customFormat="1" ht="18.75" customHeight="1">
      <c r="A31" s="72"/>
      <c r="B31" s="70"/>
      <c r="C31" s="343"/>
      <c r="D31" s="71"/>
      <c r="E31" s="356"/>
      <c r="G31" s="349"/>
      <c r="I31" s="349"/>
      <c r="J31" s="31"/>
      <c r="M31" s="341"/>
      <c r="N31" s="31"/>
      <c r="O31" s="24"/>
      <c r="P31" s="24"/>
      <c r="Q31" s="24"/>
      <c r="R31" s="31"/>
      <c r="V31" s="31"/>
      <c r="X31" s="31"/>
      <c r="Y31" s="349"/>
      <c r="Z31"/>
      <c r="AA31"/>
      <c r="AB31"/>
      <c r="AC31"/>
      <c r="AD31"/>
      <c r="AE31"/>
      <c r="AF31"/>
      <c r="AG31"/>
      <c r="AH31"/>
      <c r="AI31"/>
      <c r="AJ31"/>
      <c r="AK31"/>
      <c r="AL31"/>
      <c r="AM31"/>
      <c r="AN31"/>
      <c r="AO31"/>
      <c r="AP31"/>
      <c r="AQ31"/>
      <c r="AR31"/>
      <c r="AS31"/>
      <c r="AT31"/>
      <c r="AU31"/>
      <c r="AV31"/>
    </row>
    <row r="32" spans="3:25" ht="18" customHeight="1">
      <c r="C32" s="342"/>
      <c r="E32" s="325"/>
      <c r="G32" s="325"/>
      <c r="I32" s="325"/>
      <c r="M32" s="342"/>
      <c r="Y32" s="325"/>
    </row>
    <row r="33" spans="3:25" ht="20.25" customHeight="1">
      <c r="C33" s="342"/>
      <c r="E33" s="325"/>
      <c r="G33" s="325"/>
      <c r="I33" s="325"/>
      <c r="M33" s="342"/>
      <c r="Y33" s="325"/>
    </row>
    <row r="34" spans="3:25" ht="21" customHeight="1">
      <c r="C34" s="342"/>
      <c r="E34" s="325"/>
      <c r="G34" s="325"/>
      <c r="I34" s="325"/>
      <c r="M34" s="342"/>
      <c r="Y34" s="325"/>
    </row>
    <row r="35" spans="3:25" ht="21" customHeight="1">
      <c r="C35" s="342"/>
      <c r="E35" s="325"/>
      <c r="G35" s="325"/>
      <c r="I35" s="325"/>
      <c r="M35" s="342"/>
      <c r="Y35" s="325"/>
    </row>
    <row r="36" spans="3:25" ht="21" customHeight="1">
      <c r="C36" s="342"/>
      <c r="E36" s="325"/>
      <c r="G36" s="325"/>
      <c r="I36" s="325"/>
      <c r="M36" s="342"/>
      <c r="Y36" s="325"/>
    </row>
    <row r="37" spans="3:25" ht="21" customHeight="1">
      <c r="C37" s="342"/>
      <c r="E37" s="325"/>
      <c r="G37" s="325"/>
      <c r="I37" s="325"/>
      <c r="M37" s="342"/>
      <c r="Y37" s="325"/>
    </row>
    <row r="38" spans="3:25" ht="21" customHeight="1">
      <c r="C38" s="342"/>
      <c r="E38" s="325"/>
      <c r="G38" s="325"/>
      <c r="I38" s="325"/>
      <c r="M38" s="342"/>
      <c r="Y38" s="325"/>
    </row>
    <row r="39" spans="3:25" ht="21" customHeight="1">
      <c r="C39" s="342"/>
      <c r="E39" s="325"/>
      <c r="G39" s="325"/>
      <c r="I39" s="325"/>
      <c r="M39" s="342"/>
      <c r="Y39" s="325"/>
    </row>
    <row r="40" spans="3:25" ht="21" customHeight="1">
      <c r="C40" s="342"/>
      <c r="E40" s="325"/>
      <c r="G40" s="325"/>
      <c r="I40" s="325"/>
      <c r="M40" s="342"/>
      <c r="Y40" s="325"/>
    </row>
    <row r="41" spans="3:25" ht="21" customHeight="1">
      <c r="C41" s="342"/>
      <c r="E41" s="325"/>
      <c r="G41" s="325"/>
      <c r="I41" s="325"/>
      <c r="M41" s="342"/>
      <c r="Y41" s="325"/>
    </row>
    <row r="42" spans="3:25" ht="21" customHeight="1">
      <c r="C42" s="342"/>
      <c r="E42" s="325"/>
      <c r="G42" s="325"/>
      <c r="I42" s="325"/>
      <c r="M42" s="342"/>
      <c r="Y42" s="325"/>
    </row>
    <row r="43" spans="3:25" ht="21" customHeight="1">
      <c r="C43" s="342"/>
      <c r="E43" s="325"/>
      <c r="G43" s="325"/>
      <c r="I43" s="325"/>
      <c r="M43" s="342"/>
      <c r="Y43" s="325"/>
    </row>
    <row r="44" spans="3:25" ht="21" customHeight="1">
      <c r="C44" s="342"/>
      <c r="E44" s="325"/>
      <c r="G44" s="325"/>
      <c r="I44" s="325"/>
      <c r="M44" s="342"/>
      <c r="Y44" s="325"/>
    </row>
    <row r="45" spans="3:25" ht="21" customHeight="1">
      <c r="C45" s="342"/>
      <c r="E45" s="325"/>
      <c r="G45" s="325"/>
      <c r="I45" s="325"/>
      <c r="M45" s="342"/>
      <c r="Y45" s="325"/>
    </row>
    <row r="46" spans="3:25" ht="21" customHeight="1">
      <c r="C46" s="342"/>
      <c r="E46" s="325"/>
      <c r="G46" s="325"/>
      <c r="I46" s="325"/>
      <c r="M46" s="342"/>
      <c r="Y46" s="325"/>
    </row>
    <row r="47" spans="3:25" ht="21" customHeight="1">
      <c r="C47" s="342"/>
      <c r="E47" s="325"/>
      <c r="G47" s="325"/>
      <c r="I47" s="325"/>
      <c r="M47" s="342"/>
      <c r="Y47" s="325"/>
    </row>
    <row r="48" spans="3:25" ht="21" customHeight="1">
      <c r="C48" s="342"/>
      <c r="E48" s="325"/>
      <c r="G48" s="325"/>
      <c r="I48" s="325"/>
      <c r="M48" s="342"/>
      <c r="Y48" s="325"/>
    </row>
    <row r="49" spans="3:25" ht="21" customHeight="1">
      <c r="C49" s="342"/>
      <c r="E49" s="325"/>
      <c r="G49" s="325"/>
      <c r="I49" s="325"/>
      <c r="M49" s="342"/>
      <c r="Y49" s="325"/>
    </row>
    <row r="50" spans="3:25" ht="21" customHeight="1">
      <c r="C50" s="342"/>
      <c r="E50" s="325"/>
      <c r="G50" s="325"/>
      <c r="I50" s="325"/>
      <c r="M50" s="342"/>
      <c r="Y50" s="325"/>
    </row>
    <row r="51" spans="3:25" ht="21" customHeight="1">
      <c r="C51" s="342"/>
      <c r="E51" s="325"/>
      <c r="G51" s="325"/>
      <c r="I51" s="325"/>
      <c r="M51" s="342"/>
      <c r="Y51" s="325"/>
    </row>
    <row r="52" spans="3:25" ht="21" customHeight="1">
      <c r="C52" s="342"/>
      <c r="E52" s="325"/>
      <c r="G52" s="325"/>
      <c r="I52" s="325"/>
      <c r="M52" s="342"/>
      <c r="Y52" s="325"/>
    </row>
    <row r="53" spans="3:25" ht="21" customHeight="1">
      <c r="C53" s="342"/>
      <c r="E53" s="325"/>
      <c r="G53" s="325"/>
      <c r="I53" s="325"/>
      <c r="M53" s="342"/>
      <c r="Y53" s="325"/>
    </row>
    <row r="54" spans="3:25" ht="21" customHeight="1">
      <c r="C54" s="342"/>
      <c r="E54" s="325"/>
      <c r="G54" s="325"/>
      <c r="I54" s="325"/>
      <c r="M54" s="342"/>
      <c r="Y54" s="325"/>
    </row>
    <row r="55" spans="3:25" ht="21" customHeight="1">
      <c r="C55" s="342"/>
      <c r="E55" s="325"/>
      <c r="G55" s="325"/>
      <c r="I55" s="325"/>
      <c r="M55" s="342"/>
      <c r="Y55" s="325"/>
    </row>
    <row r="56" spans="3:25" ht="21" customHeight="1">
      <c r="C56" s="342"/>
      <c r="E56" s="325"/>
      <c r="G56" s="325"/>
      <c r="I56" s="325"/>
      <c r="M56" s="342"/>
      <c r="Y56" s="325"/>
    </row>
    <row r="57" spans="3:25" ht="21" customHeight="1">
      <c r="C57" s="342"/>
      <c r="E57" s="325"/>
      <c r="G57" s="325"/>
      <c r="I57" s="325"/>
      <c r="M57" s="342"/>
      <c r="Y57" s="325"/>
    </row>
    <row r="58" spans="3:25" ht="21" customHeight="1">
      <c r="C58" s="342"/>
      <c r="E58" s="325"/>
      <c r="G58" s="325"/>
      <c r="I58" s="325"/>
      <c r="M58" s="342"/>
      <c r="Y58" s="325"/>
    </row>
    <row r="59" spans="3:25" ht="21" customHeight="1">
      <c r="C59" s="342"/>
      <c r="E59" s="325"/>
      <c r="G59" s="325"/>
      <c r="I59" s="325"/>
      <c r="M59" s="342"/>
      <c r="Y59" s="325"/>
    </row>
  </sheetData>
  <sheetProtection/>
  <mergeCells count="13">
    <mergeCell ref="F2:G2"/>
    <mergeCell ref="J2:K2"/>
    <mergeCell ref="A2:A3"/>
    <mergeCell ref="B2:C2"/>
    <mergeCell ref="D2:E2"/>
    <mergeCell ref="H2:I2"/>
    <mergeCell ref="V2:W2"/>
    <mergeCell ref="X2:Y2"/>
    <mergeCell ref="L2:M2"/>
    <mergeCell ref="N2:O2"/>
    <mergeCell ref="P2:Q2"/>
    <mergeCell ref="R2:S2"/>
    <mergeCell ref="T2:U2"/>
  </mergeCells>
  <printOptions horizontalCentered="1"/>
  <pageMargins left="0" right="0" top="0.07874015748031496" bottom="0" header="0.4330708661417323" footer="0.4330708661417323"/>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sheetPr>
    <tabColor indexed="45"/>
  </sheetPr>
  <dimension ref="A1:AS33"/>
  <sheetViews>
    <sheetView zoomScalePageLayoutView="0" workbookViewId="0" topLeftCell="A1">
      <selection activeCell="A8" sqref="A8"/>
    </sheetView>
  </sheetViews>
  <sheetFormatPr defaultColWidth="9.140625" defaultRowHeight="12.75"/>
  <cols>
    <col min="1" max="1" width="18.7109375" style="114" customWidth="1"/>
    <col min="2" max="2" width="4.57421875" style="139" customWidth="1"/>
    <col min="3" max="3" width="7.00390625" style="353" customWidth="1"/>
    <col min="4" max="4" width="4.7109375" style="140" customWidth="1"/>
    <col min="5" max="5" width="7.7109375" style="353" customWidth="1"/>
    <col min="6" max="6" width="7.7109375" style="140" customWidth="1"/>
    <col min="7" max="7" width="7.7109375" style="353" customWidth="1"/>
    <col min="8" max="8" width="4.8515625" style="140" customWidth="1"/>
    <col min="9" max="9" width="7.00390625" style="140" customWidth="1"/>
    <col min="10" max="10" width="4.7109375" style="140" customWidth="1"/>
    <col min="11" max="11" width="7.00390625" style="353" customWidth="1"/>
    <col min="12" max="12" width="4.57421875" style="140" customWidth="1"/>
    <col min="13" max="13" width="6.421875" style="353" customWidth="1"/>
    <col min="14" max="14" width="5.28125" style="141" customWidth="1"/>
    <col min="15" max="15" width="7.421875" style="353" customWidth="1"/>
    <col min="16" max="16" width="4.421875" style="140" customWidth="1"/>
    <col min="17" max="17" width="7.57421875" style="140" customWidth="1"/>
    <col min="18" max="18" width="4.8515625" style="140" customWidth="1"/>
    <col min="19" max="19" width="8.00390625" style="353" customWidth="1"/>
    <col min="20" max="20" width="5.28125" style="114" customWidth="1"/>
    <col min="21" max="21" width="10.00390625" style="0" customWidth="1"/>
    <col min="22" max="22" width="20.28125" style="0" customWidth="1"/>
    <col min="23" max="23" width="6.140625" style="0" customWidth="1"/>
    <col min="24" max="24" width="8.28125" style="0" customWidth="1"/>
    <col min="25" max="25" width="5.28125" style="0" customWidth="1"/>
    <col min="26" max="26" width="8.421875" style="0" customWidth="1"/>
    <col min="27" max="27" width="5.57421875" style="0" customWidth="1"/>
    <col min="28" max="28" width="7.140625" style="0" customWidth="1"/>
    <col min="29" max="29" width="5.00390625" style="0" customWidth="1"/>
    <col min="30" max="30" width="8.00390625" style="0" customWidth="1"/>
    <col min="31" max="31" width="5.00390625" style="0" customWidth="1"/>
    <col min="32" max="32" width="8.28125" style="0" customWidth="1"/>
    <col min="33" max="33" width="5.28125" style="0" customWidth="1"/>
    <col min="35" max="35" width="5.7109375" style="0" customWidth="1"/>
    <col min="36" max="36" width="7.140625" style="0" customWidth="1"/>
    <col min="37" max="37" width="5.8515625" style="0" customWidth="1"/>
    <col min="39" max="39" width="5.57421875" style="0" customWidth="1"/>
    <col min="40" max="40" width="8.7109375" style="0" customWidth="1"/>
    <col min="41" max="41" width="6.140625" style="0" customWidth="1"/>
    <col min="46" max="16384" width="9.140625" style="114" customWidth="1"/>
  </cols>
  <sheetData>
    <row r="1" spans="1:45" s="59" customFormat="1" ht="25.5" customHeight="1">
      <c r="A1" s="187" t="s">
        <v>532</v>
      </c>
      <c r="B1" s="139"/>
      <c r="C1" s="353"/>
      <c r="D1" s="140"/>
      <c r="E1" s="353"/>
      <c r="F1" s="140"/>
      <c r="G1" s="353"/>
      <c r="H1" s="140"/>
      <c r="I1" s="140"/>
      <c r="J1" s="140"/>
      <c r="K1" s="353"/>
      <c r="L1" s="140"/>
      <c r="M1" s="353"/>
      <c r="O1" s="366"/>
      <c r="P1" s="69"/>
      <c r="Q1" s="69"/>
      <c r="S1" s="349"/>
      <c r="T1" s="114"/>
      <c r="U1"/>
      <c r="V1"/>
      <c r="W1"/>
      <c r="X1"/>
      <c r="Y1"/>
      <c r="Z1"/>
      <c r="AA1"/>
      <c r="AB1"/>
      <c r="AC1"/>
      <c r="AD1"/>
      <c r="AE1"/>
      <c r="AF1"/>
      <c r="AG1"/>
      <c r="AH1"/>
      <c r="AI1"/>
      <c r="AJ1"/>
      <c r="AK1"/>
      <c r="AL1"/>
      <c r="AM1"/>
      <c r="AN1"/>
      <c r="AO1"/>
      <c r="AP1"/>
      <c r="AQ1"/>
      <c r="AR1"/>
      <c r="AS1"/>
    </row>
    <row r="2" spans="1:45" s="59" customFormat="1" ht="21" customHeight="1" thickBot="1">
      <c r="A2" s="157" t="s">
        <v>515</v>
      </c>
      <c r="B2" s="139"/>
      <c r="C2" s="353"/>
      <c r="D2" s="140"/>
      <c r="E2" s="353"/>
      <c r="F2" s="140"/>
      <c r="G2" s="353"/>
      <c r="H2" s="140"/>
      <c r="I2" s="140"/>
      <c r="J2" s="140"/>
      <c r="K2" s="353"/>
      <c r="L2" s="140"/>
      <c r="M2" s="353"/>
      <c r="O2" s="583" t="s">
        <v>483</v>
      </c>
      <c r="P2" s="69"/>
      <c r="Q2" s="69"/>
      <c r="S2" s="344"/>
      <c r="T2" s="114"/>
      <c r="U2"/>
      <c r="V2"/>
      <c r="W2"/>
      <c r="X2"/>
      <c r="Y2"/>
      <c r="Z2"/>
      <c r="AA2"/>
      <c r="AB2"/>
      <c r="AC2"/>
      <c r="AD2"/>
      <c r="AE2"/>
      <c r="AF2"/>
      <c r="AG2"/>
      <c r="AH2"/>
      <c r="AI2"/>
      <c r="AJ2"/>
      <c r="AK2"/>
      <c r="AL2"/>
      <c r="AM2"/>
      <c r="AN2"/>
      <c r="AO2"/>
      <c r="AP2"/>
      <c r="AQ2"/>
      <c r="AR2"/>
      <c r="AS2"/>
    </row>
    <row r="3" spans="1:43" s="59" customFormat="1" ht="74.25" customHeight="1" thickBot="1">
      <c r="A3" s="1163" t="s">
        <v>473</v>
      </c>
      <c r="B3" s="1191" t="s">
        <v>50</v>
      </c>
      <c r="C3" s="1191"/>
      <c r="D3" s="1191" t="s">
        <v>52</v>
      </c>
      <c r="E3" s="1191"/>
      <c r="F3" s="1191" t="s">
        <v>142</v>
      </c>
      <c r="G3" s="1191"/>
      <c r="H3" s="1191" t="s">
        <v>56</v>
      </c>
      <c r="I3" s="1191"/>
      <c r="J3" s="1191" t="s">
        <v>57</v>
      </c>
      <c r="K3" s="1191"/>
      <c r="L3" s="1192" t="s">
        <v>58</v>
      </c>
      <c r="M3" s="1192"/>
      <c r="N3" s="1192" t="s">
        <v>59</v>
      </c>
      <c r="O3" s="1192"/>
      <c r="P3" s="1192" t="s">
        <v>71</v>
      </c>
      <c r="Q3" s="1192"/>
      <c r="R3" s="1169" t="s">
        <v>481</v>
      </c>
      <c r="S3" s="1169"/>
      <c r="T3"/>
      <c r="U3"/>
      <c r="V3"/>
      <c r="W3"/>
      <c r="X3"/>
      <c r="Y3"/>
      <c r="Z3"/>
      <c r="AA3"/>
      <c r="AB3"/>
      <c r="AC3"/>
      <c r="AD3"/>
      <c r="AE3"/>
      <c r="AF3"/>
      <c r="AG3"/>
      <c r="AH3"/>
      <c r="AI3"/>
      <c r="AJ3"/>
      <c r="AK3"/>
      <c r="AL3"/>
      <c r="AM3"/>
      <c r="AN3"/>
      <c r="AO3"/>
      <c r="AP3"/>
      <c r="AQ3"/>
    </row>
    <row r="4" spans="1:43" s="59" customFormat="1" ht="24.75" customHeight="1" thickBot="1">
      <c r="A4" s="1164"/>
      <c r="B4" s="1117" t="s">
        <v>474</v>
      </c>
      <c r="C4" s="1118" t="s">
        <v>475</v>
      </c>
      <c r="D4" s="1117" t="s">
        <v>474</v>
      </c>
      <c r="E4" s="1118" t="s">
        <v>475</v>
      </c>
      <c r="F4" s="1117" t="s">
        <v>474</v>
      </c>
      <c r="G4" s="1118" t="s">
        <v>475</v>
      </c>
      <c r="H4" s="1117" t="s">
        <v>474</v>
      </c>
      <c r="I4" s="1118" t="s">
        <v>475</v>
      </c>
      <c r="J4" s="1117" t="s">
        <v>474</v>
      </c>
      <c r="K4" s="1118" t="s">
        <v>475</v>
      </c>
      <c r="L4" s="1117" t="s">
        <v>474</v>
      </c>
      <c r="M4" s="1118" t="s">
        <v>475</v>
      </c>
      <c r="N4" s="1117" t="s">
        <v>474</v>
      </c>
      <c r="O4" s="1118" t="s">
        <v>475</v>
      </c>
      <c r="P4" s="1117" t="s">
        <v>474</v>
      </c>
      <c r="Q4" s="1118" t="s">
        <v>475</v>
      </c>
      <c r="R4" s="1117" t="s">
        <v>474</v>
      </c>
      <c r="S4" s="1118" t="s">
        <v>475</v>
      </c>
      <c r="T4"/>
      <c r="U4"/>
      <c r="V4"/>
      <c r="W4"/>
      <c r="X4"/>
      <c r="Y4"/>
      <c r="Z4"/>
      <c r="AA4"/>
      <c r="AB4"/>
      <c r="AC4"/>
      <c r="AD4"/>
      <c r="AE4"/>
      <c r="AF4"/>
      <c r="AG4"/>
      <c r="AH4"/>
      <c r="AI4"/>
      <c r="AJ4"/>
      <c r="AK4"/>
      <c r="AL4"/>
      <c r="AM4"/>
      <c r="AN4"/>
      <c r="AO4"/>
      <c r="AP4"/>
      <c r="AQ4"/>
    </row>
    <row r="5" spans="1:43" s="59" customFormat="1" ht="22.5" customHeight="1">
      <c r="A5" s="82" t="s">
        <v>536</v>
      </c>
      <c r="B5" s="88"/>
      <c r="C5" s="362"/>
      <c r="D5" s="89"/>
      <c r="E5" s="362"/>
      <c r="F5" s="89"/>
      <c r="G5" s="362"/>
      <c r="H5" s="89"/>
      <c r="I5" s="89"/>
      <c r="J5" s="89"/>
      <c r="K5" s="362"/>
      <c r="L5" s="90"/>
      <c r="M5" s="362"/>
      <c r="N5" s="89"/>
      <c r="O5" s="362"/>
      <c r="P5" s="89"/>
      <c r="Q5" s="89"/>
      <c r="R5" s="78"/>
      <c r="S5" s="367"/>
      <c r="T5"/>
      <c r="U5"/>
      <c r="V5"/>
      <c r="W5"/>
      <c r="X5"/>
      <c r="Y5"/>
      <c r="Z5"/>
      <c r="AA5"/>
      <c r="AB5"/>
      <c r="AC5"/>
      <c r="AD5"/>
      <c r="AE5"/>
      <c r="AF5"/>
      <c r="AG5"/>
      <c r="AH5"/>
      <c r="AI5"/>
      <c r="AJ5"/>
      <c r="AK5"/>
      <c r="AL5"/>
      <c r="AM5"/>
      <c r="AN5"/>
      <c r="AO5"/>
      <c r="AP5"/>
      <c r="AQ5"/>
    </row>
    <row r="6" spans="1:43" s="40" customFormat="1" ht="22.5" customHeight="1">
      <c r="A6" s="76" t="s">
        <v>73</v>
      </c>
      <c r="B6" s="159" t="s">
        <v>3</v>
      </c>
      <c r="C6" s="363" t="s">
        <v>3</v>
      </c>
      <c r="D6" s="363" t="s">
        <v>3</v>
      </c>
      <c r="E6" s="363">
        <v>202.4</v>
      </c>
      <c r="F6" s="159"/>
      <c r="G6" s="363"/>
      <c r="H6" s="159"/>
      <c r="I6" s="159"/>
      <c r="J6" s="159"/>
      <c r="K6" s="363"/>
      <c r="L6" s="159"/>
      <c r="M6" s="363"/>
      <c r="N6" s="159"/>
      <c r="O6" s="363"/>
      <c r="P6" s="159" t="s">
        <v>3</v>
      </c>
      <c r="Q6" s="11" t="s">
        <v>3</v>
      </c>
      <c r="R6" s="94">
        <f>SUM(B6,D6,F6,H6,J6,L6,N6,P6)</f>
        <v>0</v>
      </c>
      <c r="S6" s="347">
        <f>SUM(C6,E6,G6,I6,K6,M6,O6,Q6)</f>
        <v>202.4</v>
      </c>
      <c r="T6"/>
      <c r="U6"/>
      <c r="V6"/>
      <c r="W6"/>
      <c r="X6"/>
      <c r="Y6"/>
      <c r="Z6"/>
      <c r="AA6"/>
      <c r="AB6"/>
      <c r="AC6"/>
      <c r="AD6"/>
      <c r="AE6"/>
      <c r="AF6"/>
      <c r="AG6"/>
      <c r="AH6"/>
      <c r="AI6"/>
      <c r="AJ6"/>
      <c r="AK6"/>
      <c r="AL6"/>
      <c r="AM6"/>
      <c r="AN6"/>
      <c r="AO6"/>
      <c r="AP6"/>
      <c r="AQ6"/>
    </row>
    <row r="7" spans="1:43" s="59" customFormat="1" ht="22.5" customHeight="1">
      <c r="A7" s="82" t="s">
        <v>537</v>
      </c>
      <c r="B7" s="111"/>
      <c r="C7" s="359"/>
      <c r="D7" s="83"/>
      <c r="E7" s="359"/>
      <c r="F7" s="83"/>
      <c r="G7" s="359"/>
      <c r="H7" s="83"/>
      <c r="I7" s="83"/>
      <c r="J7" s="83"/>
      <c r="K7" s="359"/>
      <c r="L7" s="84"/>
      <c r="M7" s="359"/>
      <c r="N7" s="83"/>
      <c r="O7" s="359"/>
      <c r="P7" s="83"/>
      <c r="Q7" s="83"/>
      <c r="R7" s="164"/>
      <c r="S7" s="368"/>
      <c r="T7"/>
      <c r="U7"/>
      <c r="V7"/>
      <c r="W7"/>
      <c r="X7"/>
      <c r="Y7"/>
      <c r="Z7"/>
      <c r="AA7"/>
      <c r="AB7"/>
      <c r="AC7"/>
      <c r="AD7"/>
      <c r="AE7"/>
      <c r="AF7"/>
      <c r="AG7"/>
      <c r="AH7"/>
      <c r="AI7"/>
      <c r="AJ7"/>
      <c r="AK7"/>
      <c r="AL7"/>
      <c r="AM7"/>
      <c r="AN7"/>
      <c r="AO7"/>
      <c r="AP7"/>
      <c r="AQ7"/>
    </row>
    <row r="8" spans="1:43" s="40" customFormat="1" ht="22.5" customHeight="1" thickBot="1">
      <c r="A8" s="76" t="s">
        <v>93</v>
      </c>
      <c r="B8" s="159" t="s">
        <v>3</v>
      </c>
      <c r="C8" s="364">
        <v>88.3</v>
      </c>
      <c r="D8" s="159"/>
      <c r="E8" s="364"/>
      <c r="F8" s="159"/>
      <c r="G8" s="364">
        <v>130.6</v>
      </c>
      <c r="H8" s="15"/>
      <c r="I8" s="11"/>
      <c r="J8" s="159"/>
      <c r="K8" s="364"/>
      <c r="L8" s="159"/>
      <c r="M8" s="364"/>
      <c r="N8" s="159"/>
      <c r="O8" s="364">
        <v>18.5</v>
      </c>
      <c r="P8" s="159" t="s">
        <v>3</v>
      </c>
      <c r="Q8" s="416">
        <v>149.9</v>
      </c>
      <c r="R8" s="94">
        <f>SUM(B8,D8,F8,H8,J8,L8,N8,P8)</f>
        <v>0</v>
      </c>
      <c r="S8" s="347">
        <f>SUM(C8,E8,G8,I8,K8,M8,O8,Q8)</f>
        <v>387.29999999999995</v>
      </c>
      <c r="T8"/>
      <c r="U8"/>
      <c r="V8"/>
      <c r="W8"/>
      <c r="X8"/>
      <c r="Y8"/>
      <c r="Z8"/>
      <c r="AA8"/>
      <c r="AB8"/>
      <c r="AC8"/>
      <c r="AD8"/>
      <c r="AE8"/>
      <c r="AF8"/>
      <c r="AG8"/>
      <c r="AH8"/>
      <c r="AI8"/>
      <c r="AJ8"/>
      <c r="AK8"/>
      <c r="AL8"/>
      <c r="AM8"/>
      <c r="AN8"/>
      <c r="AO8"/>
      <c r="AP8"/>
      <c r="AQ8"/>
    </row>
    <row r="9" spans="1:43" s="40" customFormat="1" ht="22.5" customHeight="1" thickBot="1">
      <c r="A9" s="221" t="s">
        <v>481</v>
      </c>
      <c r="B9" s="162">
        <f aca="true" t="shared" si="0" ref="B9:S9">SUM(B5:B8)</f>
        <v>0</v>
      </c>
      <c r="C9" s="340">
        <f t="shared" si="0"/>
        <v>88.3</v>
      </c>
      <c r="D9" s="162">
        <f t="shared" si="0"/>
        <v>0</v>
      </c>
      <c r="E9" s="352">
        <f t="shared" si="0"/>
        <v>202.4</v>
      </c>
      <c r="F9" s="162">
        <f t="shared" si="0"/>
        <v>0</v>
      </c>
      <c r="G9" s="340">
        <f t="shared" si="0"/>
        <v>130.6</v>
      </c>
      <c r="H9" s="162">
        <f t="shared" si="0"/>
        <v>0</v>
      </c>
      <c r="I9" s="162">
        <f t="shared" si="0"/>
        <v>0</v>
      </c>
      <c r="J9" s="162">
        <f t="shared" si="0"/>
        <v>0</v>
      </c>
      <c r="K9" s="340">
        <f t="shared" si="0"/>
        <v>0</v>
      </c>
      <c r="L9" s="162">
        <f t="shared" si="0"/>
        <v>0</v>
      </c>
      <c r="M9" s="340">
        <f t="shared" si="0"/>
        <v>0</v>
      </c>
      <c r="N9" s="162">
        <f t="shared" si="0"/>
        <v>0</v>
      </c>
      <c r="O9" s="340">
        <f t="shared" si="0"/>
        <v>18.5</v>
      </c>
      <c r="P9" s="162">
        <f t="shared" si="0"/>
        <v>0</v>
      </c>
      <c r="Q9" s="162">
        <f t="shared" si="0"/>
        <v>149.9</v>
      </c>
      <c r="R9" s="163">
        <f t="shared" si="0"/>
        <v>0</v>
      </c>
      <c r="S9" s="348">
        <f t="shared" si="0"/>
        <v>589.6999999999999</v>
      </c>
      <c r="T9"/>
      <c r="U9"/>
      <c r="V9"/>
      <c r="W9"/>
      <c r="X9"/>
      <c r="Y9"/>
      <c r="Z9"/>
      <c r="AA9"/>
      <c r="AB9"/>
      <c r="AC9"/>
      <c r="AD9"/>
      <c r="AE9"/>
      <c r="AF9"/>
      <c r="AG9"/>
      <c r="AH9"/>
      <c r="AI9"/>
      <c r="AJ9"/>
      <c r="AK9"/>
      <c r="AL9"/>
      <c r="AM9"/>
      <c r="AN9"/>
      <c r="AO9"/>
      <c r="AP9"/>
      <c r="AQ9"/>
    </row>
    <row r="10" spans="1:45" s="59" customFormat="1" ht="15" customHeight="1">
      <c r="A10" s="96"/>
      <c r="B10" s="61"/>
      <c r="C10" s="345"/>
      <c r="D10" s="62"/>
      <c r="E10" s="345"/>
      <c r="F10" s="62"/>
      <c r="G10" s="345"/>
      <c r="H10" s="62"/>
      <c r="I10" s="62"/>
      <c r="J10" s="62"/>
      <c r="K10" s="345"/>
      <c r="L10" s="62"/>
      <c r="M10" s="345"/>
      <c r="N10" s="63"/>
      <c r="O10" s="345"/>
      <c r="P10" s="62"/>
      <c r="Q10" s="62"/>
      <c r="R10" s="62"/>
      <c r="S10" s="345"/>
      <c r="U10"/>
      <c r="V10"/>
      <c r="W10"/>
      <c r="X10"/>
      <c r="Y10"/>
      <c r="Z10"/>
      <c r="AA10"/>
      <c r="AB10"/>
      <c r="AC10"/>
      <c r="AD10"/>
      <c r="AE10"/>
      <c r="AF10"/>
      <c r="AG10"/>
      <c r="AH10"/>
      <c r="AI10"/>
      <c r="AJ10"/>
      <c r="AK10"/>
      <c r="AL10"/>
      <c r="AM10"/>
      <c r="AN10"/>
      <c r="AO10"/>
      <c r="AP10"/>
      <c r="AQ10"/>
      <c r="AR10"/>
      <c r="AS10"/>
    </row>
    <row r="11" spans="3:45" s="135" customFormat="1" ht="23.25" customHeight="1">
      <c r="C11" s="360"/>
      <c r="E11" s="360"/>
      <c r="G11" s="360"/>
      <c r="K11" s="360"/>
      <c r="M11" s="360"/>
      <c r="O11" s="360"/>
      <c r="S11" s="360"/>
      <c r="U11"/>
      <c r="V11"/>
      <c r="W11"/>
      <c r="X11"/>
      <c r="Y11"/>
      <c r="Z11"/>
      <c r="AA11"/>
      <c r="AB11"/>
      <c r="AC11"/>
      <c r="AD11"/>
      <c r="AE11"/>
      <c r="AF11"/>
      <c r="AG11"/>
      <c r="AH11"/>
      <c r="AI11"/>
      <c r="AJ11"/>
      <c r="AK11"/>
      <c r="AL11"/>
      <c r="AM11"/>
      <c r="AN11"/>
      <c r="AO11"/>
      <c r="AP11"/>
      <c r="AQ11"/>
      <c r="AR11"/>
      <c r="AS11"/>
    </row>
    <row r="12" spans="3:19" ht="21" customHeight="1">
      <c r="C12" s="325"/>
      <c r="E12" s="325"/>
      <c r="G12" s="325"/>
      <c r="K12" s="325"/>
      <c r="M12" s="325"/>
      <c r="O12" s="325"/>
      <c r="S12" s="325"/>
    </row>
    <row r="13" spans="3:19" ht="21" customHeight="1">
      <c r="C13" s="325"/>
      <c r="E13" s="325"/>
      <c r="G13" s="325"/>
      <c r="K13" s="325"/>
      <c r="M13" s="325"/>
      <c r="O13" s="325"/>
      <c r="S13" s="325"/>
    </row>
    <row r="14" spans="3:19" ht="21" customHeight="1">
      <c r="C14" s="325"/>
      <c r="E14" s="325"/>
      <c r="G14" s="325"/>
      <c r="K14" s="325"/>
      <c r="M14" s="325"/>
      <c r="O14" s="325"/>
      <c r="S14" s="325"/>
    </row>
    <row r="15" spans="3:19" ht="21" customHeight="1">
      <c r="C15" s="325"/>
      <c r="E15" s="325"/>
      <c r="G15" s="325"/>
      <c r="K15" s="325"/>
      <c r="M15" s="325"/>
      <c r="O15" s="325"/>
      <c r="S15" s="325"/>
    </row>
    <row r="16" spans="3:19" ht="21" customHeight="1">
      <c r="C16" s="325"/>
      <c r="E16" s="325"/>
      <c r="G16" s="325"/>
      <c r="K16" s="325"/>
      <c r="M16" s="325"/>
      <c r="O16" s="325"/>
      <c r="S16" s="325"/>
    </row>
    <row r="17" spans="3:19" ht="21" customHeight="1">
      <c r="C17" s="325"/>
      <c r="E17" s="325"/>
      <c r="G17" s="325"/>
      <c r="K17" s="325"/>
      <c r="M17" s="325"/>
      <c r="O17" s="325"/>
      <c r="S17" s="325"/>
    </row>
    <row r="18" spans="3:19" ht="21" customHeight="1">
      <c r="C18" s="325"/>
      <c r="E18" s="325"/>
      <c r="G18" s="325"/>
      <c r="K18" s="325"/>
      <c r="M18" s="325"/>
      <c r="O18" s="325"/>
      <c r="S18" s="325"/>
    </row>
    <row r="19" spans="3:19" ht="21" customHeight="1">
      <c r="C19" s="325"/>
      <c r="E19" s="325"/>
      <c r="G19" s="325"/>
      <c r="K19" s="325"/>
      <c r="M19" s="325"/>
      <c r="O19" s="325"/>
      <c r="S19" s="325"/>
    </row>
    <row r="20" spans="3:19" ht="18.75" customHeight="1">
      <c r="C20" s="325"/>
      <c r="E20" s="365">
        <f>SUM(E14:E19)</f>
        <v>0</v>
      </c>
      <c r="F20" s="229"/>
      <c r="G20" s="365"/>
      <c r="K20" s="325"/>
      <c r="M20" s="325"/>
      <c r="O20" s="325"/>
      <c r="S20" s="325"/>
    </row>
    <row r="21" spans="3:19" ht="18.75" customHeight="1">
      <c r="C21" s="325"/>
      <c r="E21" s="325"/>
      <c r="G21" s="325"/>
      <c r="K21" s="325"/>
      <c r="M21" s="325"/>
      <c r="O21" s="325"/>
      <c r="S21" s="325"/>
    </row>
    <row r="22" spans="3:19" ht="18.75" customHeight="1">
      <c r="C22" s="325"/>
      <c r="E22" s="325"/>
      <c r="G22" s="325"/>
      <c r="K22" s="325"/>
      <c r="M22" s="325"/>
      <c r="O22" s="325"/>
      <c r="S22" s="325"/>
    </row>
    <row r="23" spans="3:19" ht="18.75" customHeight="1">
      <c r="C23" s="325"/>
      <c r="E23" s="325"/>
      <c r="G23" s="325"/>
      <c r="K23" s="325"/>
      <c r="M23" s="325"/>
      <c r="O23" s="325"/>
      <c r="S23" s="325"/>
    </row>
    <row r="24" spans="3:19" ht="18.75" customHeight="1">
      <c r="C24" s="325"/>
      <c r="E24" s="325"/>
      <c r="G24" s="325"/>
      <c r="K24" s="325"/>
      <c r="M24" s="325"/>
      <c r="O24" s="325"/>
      <c r="S24" s="325"/>
    </row>
    <row r="25" spans="3:19" ht="18.75" customHeight="1">
      <c r="C25" s="325"/>
      <c r="E25" s="325"/>
      <c r="G25" s="325"/>
      <c r="K25" s="325"/>
      <c r="M25" s="325"/>
      <c r="O25" s="325"/>
      <c r="S25" s="325"/>
    </row>
    <row r="26" spans="3:19" ht="18.75" customHeight="1">
      <c r="C26" s="325"/>
      <c r="E26" s="325"/>
      <c r="G26" s="325"/>
      <c r="K26" s="325"/>
      <c r="M26" s="325"/>
      <c r="O26" s="325"/>
      <c r="S26" s="325"/>
    </row>
    <row r="27" spans="3:19" ht="18.75" customHeight="1">
      <c r="C27" s="325"/>
      <c r="E27" s="325"/>
      <c r="G27" s="325"/>
      <c r="K27" s="325"/>
      <c r="M27" s="325"/>
      <c r="O27" s="325"/>
      <c r="S27" s="325"/>
    </row>
    <row r="28" spans="3:19" ht="18.75" customHeight="1">
      <c r="C28" s="325"/>
      <c r="E28" s="325"/>
      <c r="G28" s="325"/>
      <c r="K28" s="325"/>
      <c r="M28" s="325"/>
      <c r="O28" s="325"/>
      <c r="S28" s="325"/>
    </row>
    <row r="29" spans="3:19" ht="18.75" customHeight="1">
      <c r="C29" s="325"/>
      <c r="E29" s="325"/>
      <c r="G29" s="325"/>
      <c r="K29" s="325"/>
      <c r="M29" s="325"/>
      <c r="O29" s="325"/>
      <c r="S29" s="325"/>
    </row>
    <row r="30" spans="3:19" ht="18.75" customHeight="1">
      <c r="C30" s="325"/>
      <c r="E30" s="325"/>
      <c r="G30" s="325"/>
      <c r="K30" s="325"/>
      <c r="M30" s="325"/>
      <c r="O30" s="325"/>
      <c r="S30" s="325"/>
    </row>
    <row r="31" spans="3:19" ht="18.75" customHeight="1">
      <c r="C31" s="325"/>
      <c r="E31" s="325"/>
      <c r="G31" s="325"/>
      <c r="K31" s="325"/>
      <c r="M31" s="325"/>
      <c r="O31" s="325"/>
      <c r="S31" s="325"/>
    </row>
    <row r="32" spans="3:19" ht="18.75" customHeight="1">
      <c r="C32" s="325"/>
      <c r="E32" s="325"/>
      <c r="G32" s="325"/>
      <c r="K32" s="325"/>
      <c r="M32" s="325"/>
      <c r="O32" s="325"/>
      <c r="S32" s="325"/>
    </row>
    <row r="33" spans="3:19" ht="18.75" customHeight="1">
      <c r="C33" s="325"/>
      <c r="E33" s="325"/>
      <c r="G33" s="325"/>
      <c r="K33" s="325"/>
      <c r="M33" s="325"/>
      <c r="O33" s="325"/>
      <c r="S33" s="325"/>
    </row>
  </sheetData>
  <sheetProtection/>
  <mergeCells count="10">
    <mergeCell ref="D3:E3"/>
    <mergeCell ref="A3:A4"/>
    <mergeCell ref="B3:C3"/>
    <mergeCell ref="F3:G3"/>
    <mergeCell ref="P3:Q3"/>
    <mergeCell ref="R3:S3"/>
    <mergeCell ref="N3:O3"/>
    <mergeCell ref="L3:M3"/>
    <mergeCell ref="H3:I3"/>
    <mergeCell ref="J3:K3"/>
  </mergeCells>
  <printOptions horizontalCentered="1"/>
  <pageMargins left="0.25" right="0.15" top="0.5" bottom="0.35" header="0.511811023622047" footer="0.511811023622047"/>
  <pageSetup horizontalDpi="600" verticalDpi="600" orientation="landscape" paperSize="9" scale="105" r:id="rId1"/>
</worksheet>
</file>

<file path=xl/worksheets/sheet9.xml><?xml version="1.0" encoding="utf-8"?>
<worksheet xmlns="http://schemas.openxmlformats.org/spreadsheetml/2006/main" xmlns:r="http://schemas.openxmlformats.org/officeDocument/2006/relationships">
  <sheetPr>
    <tabColor indexed="14"/>
  </sheetPr>
  <dimension ref="A1:AK26"/>
  <sheetViews>
    <sheetView zoomScalePageLayoutView="0" workbookViewId="0" topLeftCell="A1">
      <selection activeCell="F2" sqref="F2"/>
    </sheetView>
  </sheetViews>
  <sheetFormatPr defaultColWidth="9.140625" defaultRowHeight="12.75"/>
  <cols>
    <col min="1" max="1" width="21.8515625" style="114" customWidth="1"/>
    <col min="2" max="2" width="4.28125" style="211" customWidth="1"/>
    <col min="3" max="3" width="68.57421875" style="140" customWidth="1"/>
    <col min="4" max="4" width="4.140625" style="141" customWidth="1"/>
    <col min="5" max="5" width="9.28125" style="821" customWidth="1"/>
    <col min="6" max="6" width="4.140625" style="402" customWidth="1"/>
    <col min="7" max="7" width="8.00390625" style="403" customWidth="1"/>
    <col min="8" max="8" width="4.8515625" style="402" customWidth="1"/>
    <col min="9" max="9" width="4.7109375" style="402" customWidth="1"/>
    <col min="10" max="10" width="5.140625" style="398" customWidth="1"/>
    <col min="11" max="11" width="8.140625" style="407" customWidth="1"/>
    <col min="12" max="12" width="5.28125" style="114" customWidth="1"/>
    <col min="13" max="13" width="10.00390625" style="0" customWidth="1"/>
    <col min="14" max="14" width="20.28125" style="0" customWidth="1"/>
    <col min="15" max="15" width="6.140625" style="0" customWidth="1"/>
    <col min="16" max="16" width="8.28125" style="0" customWidth="1"/>
    <col min="17" max="17" width="4.7109375" style="0" customWidth="1"/>
    <col min="18" max="18" width="7.8515625" style="0" customWidth="1"/>
    <col min="19" max="19" width="4.8515625" style="0" customWidth="1"/>
    <col min="20" max="20" width="8.421875" style="0" customWidth="1"/>
    <col min="21" max="21" width="5.28125" style="0" customWidth="1"/>
    <col min="22" max="22" width="6.57421875" style="0" customWidth="1"/>
    <col min="23" max="23" width="4.7109375" style="0" customWidth="1"/>
    <col min="24" max="24" width="8.421875" style="0" customWidth="1"/>
    <col min="25" max="25" width="5.28125" style="0" customWidth="1"/>
    <col min="27" max="27" width="5.7109375" style="0" customWidth="1"/>
    <col min="28" max="28" width="7.140625" style="0" customWidth="1"/>
    <col min="29" max="29" width="5.8515625" style="0" customWidth="1"/>
    <col min="31" max="31" width="5.57421875" style="0" customWidth="1"/>
    <col min="32" max="32" width="8.7109375" style="0" customWidth="1"/>
    <col min="33" max="33" width="6.140625" style="0" customWidth="1"/>
    <col min="38" max="16384" width="9.140625" style="114" customWidth="1"/>
  </cols>
  <sheetData>
    <row r="1" spans="1:37" s="59" customFormat="1" ht="25.5" customHeight="1">
      <c r="A1" s="187" t="s">
        <v>534</v>
      </c>
      <c r="B1" s="211"/>
      <c r="C1" s="140"/>
      <c r="E1" s="816"/>
      <c r="F1" s="395"/>
      <c r="G1" s="396"/>
      <c r="H1" s="397"/>
      <c r="I1" s="397"/>
      <c r="J1" s="398"/>
      <c r="K1" s="407"/>
      <c r="L1" s="114"/>
      <c r="M1"/>
      <c r="N1"/>
      <c r="O1"/>
      <c r="P1"/>
      <c r="Q1"/>
      <c r="R1"/>
      <c r="S1"/>
      <c r="T1"/>
      <c r="U1"/>
      <c r="V1"/>
      <c r="W1"/>
      <c r="X1"/>
      <c r="Y1"/>
      <c r="Z1"/>
      <c r="AA1"/>
      <c r="AB1"/>
      <c r="AC1"/>
      <c r="AD1"/>
      <c r="AE1"/>
      <c r="AF1"/>
      <c r="AG1"/>
      <c r="AH1"/>
      <c r="AI1"/>
      <c r="AJ1"/>
      <c r="AK1"/>
    </row>
    <row r="2" spans="1:12" ht="16.5" customHeight="1" thickBot="1">
      <c r="A2" s="188"/>
      <c r="B2" s="212"/>
      <c r="C2" s="205"/>
      <c r="D2" s="205"/>
      <c r="E2" s="817"/>
      <c r="F2" s="583" t="s">
        <v>483</v>
      </c>
      <c r="G2" s="400"/>
      <c r="H2" s="583"/>
      <c r="I2" s="399"/>
      <c r="J2" s="399"/>
      <c r="K2" s="408"/>
      <c r="L2" s="65"/>
    </row>
    <row r="3" spans="1:37" s="65" customFormat="1" ht="33.75" customHeight="1">
      <c r="A3" s="1193" t="s">
        <v>533</v>
      </c>
      <c r="B3" s="1193" t="s">
        <v>510</v>
      </c>
      <c r="C3" s="1195"/>
      <c r="D3" s="1203" t="s">
        <v>514</v>
      </c>
      <c r="E3" s="1203"/>
      <c r="F3" s="1201" t="s">
        <v>511</v>
      </c>
      <c r="G3" s="1202"/>
      <c r="H3" s="1198" t="s">
        <v>529</v>
      </c>
      <c r="I3" s="1198" t="s">
        <v>48</v>
      </c>
      <c r="J3" s="1196" t="s">
        <v>481</v>
      </c>
      <c r="K3" s="1197"/>
      <c r="M3"/>
      <c r="N3"/>
      <c r="O3"/>
      <c r="P3"/>
      <c r="Q3"/>
      <c r="R3"/>
      <c r="S3"/>
      <c r="T3"/>
      <c r="U3"/>
      <c r="V3"/>
      <c r="W3"/>
      <c r="X3"/>
      <c r="Y3"/>
      <c r="Z3"/>
      <c r="AA3"/>
      <c r="AB3"/>
      <c r="AC3"/>
      <c r="AD3"/>
      <c r="AE3"/>
      <c r="AF3"/>
      <c r="AG3"/>
      <c r="AH3"/>
      <c r="AI3"/>
      <c r="AJ3"/>
      <c r="AK3"/>
    </row>
    <row r="4" spans="1:37" s="65" customFormat="1" ht="27.75" customHeight="1" thickBot="1">
      <c r="A4" s="1194"/>
      <c r="B4" s="1194"/>
      <c r="C4" s="1194"/>
      <c r="D4" s="1119" t="s">
        <v>474</v>
      </c>
      <c r="E4" s="1120" t="s">
        <v>475</v>
      </c>
      <c r="F4" s="1119" t="s">
        <v>474</v>
      </c>
      <c r="G4" s="1120" t="s">
        <v>475</v>
      </c>
      <c r="H4" s="1199"/>
      <c r="I4" s="1200"/>
      <c r="J4" s="1119" t="s">
        <v>474</v>
      </c>
      <c r="K4" s="1120" t="s">
        <v>475</v>
      </c>
      <c r="M4"/>
      <c r="N4"/>
      <c r="O4"/>
      <c r="P4"/>
      <c r="Q4"/>
      <c r="R4"/>
      <c r="S4"/>
      <c r="T4"/>
      <c r="U4"/>
      <c r="V4"/>
      <c r="W4"/>
      <c r="X4"/>
      <c r="Y4"/>
      <c r="Z4"/>
      <c r="AA4"/>
      <c r="AB4"/>
      <c r="AC4"/>
      <c r="AD4"/>
      <c r="AE4"/>
      <c r="AF4"/>
      <c r="AG4"/>
      <c r="AH4"/>
      <c r="AI4"/>
      <c r="AJ4"/>
      <c r="AK4"/>
    </row>
    <row r="5" spans="1:37" s="65" customFormat="1" ht="21.75">
      <c r="A5" s="75" t="s">
        <v>389</v>
      </c>
      <c r="B5" s="260">
        <v>1</v>
      </c>
      <c r="C5" s="361" t="s">
        <v>180</v>
      </c>
      <c r="D5" s="697">
        <v>4</v>
      </c>
      <c r="E5" s="589">
        <f>193.8*1.1</f>
        <v>213.18000000000004</v>
      </c>
      <c r="F5" s="695">
        <v>4</v>
      </c>
      <c r="G5" s="696">
        <f>82.4*1.1</f>
        <v>90.64000000000001</v>
      </c>
      <c r="H5" s="259" t="s">
        <v>3</v>
      </c>
      <c r="I5" s="259" t="s">
        <v>3</v>
      </c>
      <c r="J5" s="401">
        <f aca="true" t="shared" si="0" ref="J5:J21">D5</f>
        <v>4</v>
      </c>
      <c r="K5" s="409">
        <f aca="true" t="shared" si="1" ref="K5:K22">E5+G5</f>
        <v>303.82000000000005</v>
      </c>
      <c r="M5"/>
      <c r="N5"/>
      <c r="O5"/>
      <c r="P5"/>
      <c r="Q5"/>
      <c r="R5"/>
      <c r="S5"/>
      <c r="T5"/>
      <c r="U5"/>
      <c r="V5"/>
      <c r="W5"/>
      <c r="X5"/>
      <c r="Y5"/>
      <c r="Z5"/>
      <c r="AA5"/>
      <c r="AB5"/>
      <c r="AC5"/>
      <c r="AD5"/>
      <c r="AE5"/>
      <c r="AF5"/>
      <c r="AG5"/>
      <c r="AH5"/>
      <c r="AI5"/>
      <c r="AJ5"/>
      <c r="AK5"/>
    </row>
    <row r="6" spans="1:37" s="65" customFormat="1" ht="21">
      <c r="A6" s="75"/>
      <c r="B6" s="260">
        <v>2</v>
      </c>
      <c r="C6" s="361" t="s">
        <v>184</v>
      </c>
      <c r="D6" s="259">
        <v>1</v>
      </c>
      <c r="E6" s="819">
        <f>46.2*1.1</f>
        <v>50.82000000000001</v>
      </c>
      <c r="F6" s="695"/>
      <c r="G6" s="696"/>
      <c r="H6" s="259" t="s">
        <v>3</v>
      </c>
      <c r="I6" s="259" t="s">
        <v>3</v>
      </c>
      <c r="J6" s="401">
        <f t="shared" si="0"/>
        <v>1</v>
      </c>
      <c r="K6" s="409">
        <f t="shared" si="1"/>
        <v>50.82000000000001</v>
      </c>
      <c r="M6"/>
      <c r="N6"/>
      <c r="O6"/>
      <c r="P6"/>
      <c r="Q6"/>
      <c r="R6"/>
      <c r="S6"/>
      <c r="T6"/>
      <c r="U6"/>
      <c r="V6"/>
      <c r="W6"/>
      <c r="X6"/>
      <c r="Y6"/>
      <c r="Z6"/>
      <c r="AA6"/>
      <c r="AB6"/>
      <c r="AC6"/>
      <c r="AD6"/>
      <c r="AE6"/>
      <c r="AF6"/>
      <c r="AG6"/>
      <c r="AH6"/>
      <c r="AI6"/>
      <c r="AJ6"/>
      <c r="AK6"/>
    </row>
    <row r="7" spans="2:37" s="65" customFormat="1" ht="21">
      <c r="B7" s="260">
        <v>3</v>
      </c>
      <c r="C7" s="213" t="s">
        <v>178</v>
      </c>
      <c r="D7" s="695">
        <v>5</v>
      </c>
      <c r="E7" s="588">
        <f>91.7*1.1</f>
        <v>100.87</v>
      </c>
      <c r="F7" s="695">
        <v>5</v>
      </c>
      <c r="G7" s="696">
        <f>73.5*1.1</f>
        <v>80.85000000000001</v>
      </c>
      <c r="H7" s="259" t="s">
        <v>3</v>
      </c>
      <c r="I7" s="259" t="s">
        <v>3</v>
      </c>
      <c r="J7" s="401">
        <f t="shared" si="0"/>
        <v>5</v>
      </c>
      <c r="K7" s="409">
        <f t="shared" si="1"/>
        <v>181.72000000000003</v>
      </c>
      <c r="M7"/>
      <c r="N7"/>
      <c r="O7"/>
      <c r="P7"/>
      <c r="Q7"/>
      <c r="R7"/>
      <c r="S7"/>
      <c r="T7"/>
      <c r="U7"/>
      <c r="V7"/>
      <c r="W7"/>
      <c r="X7"/>
      <c r="Y7"/>
      <c r="Z7"/>
      <c r="AA7"/>
      <c r="AB7"/>
      <c r="AC7"/>
      <c r="AD7"/>
      <c r="AE7"/>
      <c r="AF7"/>
      <c r="AG7"/>
      <c r="AH7"/>
      <c r="AI7"/>
      <c r="AJ7"/>
      <c r="AK7"/>
    </row>
    <row r="8" spans="1:37" s="405" customFormat="1" ht="21">
      <c r="A8" s="258"/>
      <c r="B8" s="260">
        <v>4</v>
      </c>
      <c r="C8" s="361" t="s">
        <v>237</v>
      </c>
      <c r="D8" s="695">
        <v>3</v>
      </c>
      <c r="E8" s="588">
        <f>82.7*1.1</f>
        <v>90.97000000000001</v>
      </c>
      <c r="F8" s="259"/>
      <c r="G8" s="259"/>
      <c r="H8" s="259"/>
      <c r="I8" s="259"/>
      <c r="J8" s="401">
        <f t="shared" si="0"/>
        <v>3</v>
      </c>
      <c r="K8" s="409">
        <f t="shared" si="1"/>
        <v>90.97000000000001</v>
      </c>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row>
    <row r="9" spans="1:37" s="65" customFormat="1" ht="21.75">
      <c r="A9" s="75"/>
      <c r="B9" s="260">
        <v>5</v>
      </c>
      <c r="C9" s="361" t="s">
        <v>181</v>
      </c>
      <c r="D9" s="307">
        <f>3+7</f>
        <v>10</v>
      </c>
      <c r="E9" s="818">
        <f>(161.8+149.9)*1.1</f>
        <v>342.87000000000006</v>
      </c>
      <c r="F9" s="307">
        <f>7+3</f>
        <v>10</v>
      </c>
      <c r="G9" s="610">
        <f>(197.4+60.5)*1.1</f>
        <v>283.69</v>
      </c>
      <c r="H9" s="259" t="s">
        <v>3</v>
      </c>
      <c r="I9" s="259" t="s">
        <v>3</v>
      </c>
      <c r="J9" s="401">
        <f t="shared" si="0"/>
        <v>10</v>
      </c>
      <c r="K9" s="409">
        <f t="shared" si="1"/>
        <v>626.5600000000001</v>
      </c>
      <c r="M9"/>
      <c r="N9"/>
      <c r="O9"/>
      <c r="P9"/>
      <c r="Q9"/>
      <c r="R9"/>
      <c r="S9"/>
      <c r="T9"/>
      <c r="U9"/>
      <c r="V9"/>
      <c r="W9"/>
      <c r="X9"/>
      <c r="Y9"/>
      <c r="Z9"/>
      <c r="AA9"/>
      <c r="AB9"/>
      <c r="AC9"/>
      <c r="AD9"/>
      <c r="AE9"/>
      <c r="AF9"/>
      <c r="AG9"/>
      <c r="AH9"/>
      <c r="AI9"/>
      <c r="AJ9"/>
      <c r="AK9"/>
    </row>
    <row r="10" spans="1:37" s="65" customFormat="1" ht="21">
      <c r="A10" s="75"/>
      <c r="B10" s="260">
        <v>6</v>
      </c>
      <c r="C10" s="361" t="s">
        <v>233</v>
      </c>
      <c r="D10" s="695">
        <v>5</v>
      </c>
      <c r="E10" s="588">
        <f>128*1.1</f>
        <v>140.8</v>
      </c>
      <c r="F10" s="259"/>
      <c r="G10" s="259"/>
      <c r="H10" s="259" t="s">
        <v>3</v>
      </c>
      <c r="I10" s="259" t="s">
        <v>3</v>
      </c>
      <c r="J10" s="401">
        <f t="shared" si="0"/>
        <v>5</v>
      </c>
      <c r="K10" s="409">
        <f t="shared" si="1"/>
        <v>140.8</v>
      </c>
      <c r="M10"/>
      <c r="N10"/>
      <c r="O10"/>
      <c r="P10"/>
      <c r="Q10"/>
      <c r="R10"/>
      <c r="S10"/>
      <c r="T10"/>
      <c r="U10"/>
      <c r="V10"/>
      <c r="W10"/>
      <c r="X10"/>
      <c r="Y10"/>
      <c r="Z10"/>
      <c r="AA10"/>
      <c r="AB10"/>
      <c r="AC10"/>
      <c r="AD10"/>
      <c r="AE10"/>
      <c r="AF10"/>
      <c r="AG10"/>
      <c r="AH10"/>
      <c r="AI10"/>
      <c r="AJ10"/>
      <c r="AK10"/>
    </row>
    <row r="11" spans="1:37" s="405" customFormat="1" ht="25.5" customHeight="1">
      <c r="A11" s="258"/>
      <c r="B11" s="260">
        <v>7</v>
      </c>
      <c r="C11" s="361" t="s">
        <v>238</v>
      </c>
      <c r="D11" s="695">
        <v>5</v>
      </c>
      <c r="E11" s="588">
        <f>117.9*1.1</f>
        <v>129.69000000000003</v>
      </c>
      <c r="F11" s="259" t="s">
        <v>3</v>
      </c>
      <c r="G11" s="259"/>
      <c r="H11" s="259" t="s">
        <v>3</v>
      </c>
      <c r="I11" s="259" t="s">
        <v>3</v>
      </c>
      <c r="J11" s="401">
        <f t="shared" si="0"/>
        <v>5</v>
      </c>
      <c r="K11" s="409">
        <f t="shared" si="1"/>
        <v>129.69000000000003</v>
      </c>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row>
    <row r="12" spans="1:37" s="405" customFormat="1" ht="21">
      <c r="A12" s="258" t="s">
        <v>390</v>
      </c>
      <c r="B12" s="260">
        <v>8</v>
      </c>
      <c r="C12" s="361" t="s">
        <v>235</v>
      </c>
      <c r="D12" s="695"/>
      <c r="E12" s="588"/>
      <c r="F12" s="695">
        <v>5</v>
      </c>
      <c r="G12" s="695">
        <f>116.3*1.1</f>
        <v>127.93</v>
      </c>
      <c r="H12" s="259" t="s">
        <v>3</v>
      </c>
      <c r="I12" s="259" t="s">
        <v>3</v>
      </c>
      <c r="J12" s="401">
        <f t="shared" si="0"/>
        <v>0</v>
      </c>
      <c r="K12" s="409">
        <f t="shared" si="1"/>
        <v>127.93</v>
      </c>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row>
    <row r="13" spans="1:37" s="65" customFormat="1" ht="44.25" customHeight="1">
      <c r="A13" s="258" t="s">
        <v>391</v>
      </c>
      <c r="B13" s="260">
        <v>9</v>
      </c>
      <c r="C13" s="361" t="s">
        <v>177</v>
      </c>
      <c r="D13" s="695">
        <v>6</v>
      </c>
      <c r="E13" s="588">
        <f>97.3*1.1</f>
        <v>107.03</v>
      </c>
      <c r="F13" s="695"/>
      <c r="G13" s="696"/>
      <c r="H13" s="259" t="s">
        <v>3</v>
      </c>
      <c r="I13" s="259" t="s">
        <v>3</v>
      </c>
      <c r="J13" s="401">
        <f t="shared" si="0"/>
        <v>6</v>
      </c>
      <c r="K13" s="409">
        <f t="shared" si="1"/>
        <v>107.03</v>
      </c>
      <c r="M13"/>
      <c r="N13"/>
      <c r="O13"/>
      <c r="P13"/>
      <c r="Q13"/>
      <c r="R13"/>
      <c r="S13"/>
      <c r="T13"/>
      <c r="U13"/>
      <c r="V13"/>
      <c r="W13"/>
      <c r="X13"/>
      <c r="Y13"/>
      <c r="Z13"/>
      <c r="AA13"/>
      <c r="AB13"/>
      <c r="AC13"/>
      <c r="AD13"/>
      <c r="AE13"/>
      <c r="AF13"/>
      <c r="AG13"/>
      <c r="AH13"/>
      <c r="AI13"/>
      <c r="AJ13"/>
      <c r="AK13"/>
    </row>
    <row r="14" spans="1:37" s="65" customFormat="1" ht="44.25" customHeight="1">
      <c r="A14" s="258" t="s">
        <v>414</v>
      </c>
      <c r="B14" s="260">
        <v>10</v>
      </c>
      <c r="C14" s="361" t="s">
        <v>415</v>
      </c>
      <c r="D14" s="695">
        <v>9</v>
      </c>
      <c r="E14" s="588">
        <f>200.6*1.1</f>
        <v>220.66000000000003</v>
      </c>
      <c r="F14" s="695">
        <v>9</v>
      </c>
      <c r="G14" s="696">
        <f>244.7*1.1</f>
        <v>269.17</v>
      </c>
      <c r="H14" s="259"/>
      <c r="I14" s="259"/>
      <c r="J14" s="401">
        <f t="shared" si="0"/>
        <v>9</v>
      </c>
      <c r="K14" s="409">
        <f t="shared" si="1"/>
        <v>489.83000000000004</v>
      </c>
      <c r="M14"/>
      <c r="N14"/>
      <c r="O14"/>
      <c r="P14"/>
      <c r="Q14"/>
      <c r="R14"/>
      <c r="S14"/>
      <c r="T14"/>
      <c r="U14"/>
      <c r="V14"/>
      <c r="W14"/>
      <c r="X14"/>
      <c r="Y14"/>
      <c r="Z14"/>
      <c r="AA14"/>
      <c r="AB14"/>
      <c r="AC14"/>
      <c r="AD14"/>
      <c r="AE14"/>
      <c r="AF14"/>
      <c r="AG14"/>
      <c r="AH14"/>
      <c r="AI14"/>
      <c r="AJ14"/>
      <c r="AK14"/>
    </row>
    <row r="15" spans="1:37" s="65" customFormat="1" ht="40.5">
      <c r="A15" s="258" t="s">
        <v>392</v>
      </c>
      <c r="B15" s="260">
        <v>11</v>
      </c>
      <c r="C15" s="361" t="s">
        <v>232</v>
      </c>
      <c r="D15" s="695">
        <v>5</v>
      </c>
      <c r="E15" s="588">
        <f>77.3*1.1</f>
        <v>85.03</v>
      </c>
      <c r="F15" s="695">
        <f>5+5</f>
        <v>10</v>
      </c>
      <c r="G15" s="696">
        <f>(86.9+117.8)*1.1</f>
        <v>225.17000000000002</v>
      </c>
      <c r="H15" s="259" t="s">
        <v>3</v>
      </c>
      <c r="I15" s="259" t="s">
        <v>3</v>
      </c>
      <c r="J15" s="401">
        <f t="shared" si="0"/>
        <v>5</v>
      </c>
      <c r="K15" s="409">
        <f t="shared" si="1"/>
        <v>310.20000000000005</v>
      </c>
      <c r="M15"/>
      <c r="N15"/>
      <c r="O15"/>
      <c r="P15"/>
      <c r="Q15"/>
      <c r="R15"/>
      <c r="S15"/>
      <c r="T15"/>
      <c r="U15"/>
      <c r="V15"/>
      <c r="W15"/>
      <c r="X15"/>
      <c r="Y15"/>
      <c r="Z15"/>
      <c r="AA15"/>
      <c r="AB15"/>
      <c r="AC15"/>
      <c r="AD15"/>
      <c r="AE15"/>
      <c r="AF15"/>
      <c r="AG15"/>
      <c r="AH15"/>
      <c r="AI15"/>
      <c r="AJ15"/>
      <c r="AK15"/>
    </row>
    <row r="16" spans="1:37" s="65" customFormat="1" ht="21">
      <c r="A16" s="258"/>
      <c r="B16" s="260">
        <v>12</v>
      </c>
      <c r="C16" s="361" t="s">
        <v>236</v>
      </c>
      <c r="D16" s="695">
        <v>5</v>
      </c>
      <c r="E16" s="588">
        <f>77*1.1</f>
        <v>84.7</v>
      </c>
      <c r="F16" s="695">
        <v>5</v>
      </c>
      <c r="G16" s="696">
        <f>117.8*1.1</f>
        <v>129.58</v>
      </c>
      <c r="H16" s="259" t="s">
        <v>3</v>
      </c>
      <c r="I16" s="259" t="s">
        <v>3</v>
      </c>
      <c r="J16" s="401">
        <f t="shared" si="0"/>
        <v>5</v>
      </c>
      <c r="K16" s="409">
        <f t="shared" si="1"/>
        <v>214.28000000000003</v>
      </c>
      <c r="M16"/>
      <c r="N16"/>
      <c r="O16"/>
      <c r="P16"/>
      <c r="Q16"/>
      <c r="R16"/>
      <c r="S16"/>
      <c r="T16"/>
      <c r="U16"/>
      <c r="V16"/>
      <c r="W16"/>
      <c r="X16"/>
      <c r="Y16"/>
      <c r="Z16"/>
      <c r="AA16"/>
      <c r="AB16"/>
      <c r="AC16"/>
      <c r="AD16"/>
      <c r="AE16"/>
      <c r="AF16"/>
      <c r="AG16"/>
      <c r="AH16"/>
      <c r="AI16"/>
      <c r="AJ16"/>
      <c r="AK16"/>
    </row>
    <row r="17" spans="2:37" s="65" customFormat="1" ht="45" customHeight="1">
      <c r="B17" s="260">
        <v>13</v>
      </c>
      <c r="C17" s="361" t="s">
        <v>179</v>
      </c>
      <c r="D17" s="695">
        <v>2</v>
      </c>
      <c r="E17" s="588">
        <f>200.8*1.1</f>
        <v>220.88000000000002</v>
      </c>
      <c r="F17" s="695">
        <v>2</v>
      </c>
      <c r="G17" s="696">
        <f>63*1.1</f>
        <v>69.30000000000001</v>
      </c>
      <c r="H17" s="259" t="s">
        <v>3</v>
      </c>
      <c r="I17" s="259" t="s">
        <v>3</v>
      </c>
      <c r="J17" s="401">
        <f t="shared" si="0"/>
        <v>2</v>
      </c>
      <c r="K17" s="409">
        <f t="shared" si="1"/>
        <v>290.18000000000006</v>
      </c>
      <c r="M17"/>
      <c r="N17"/>
      <c r="O17"/>
      <c r="P17"/>
      <c r="Q17"/>
      <c r="R17"/>
      <c r="S17"/>
      <c r="T17"/>
      <c r="U17"/>
      <c r="V17"/>
      <c r="W17"/>
      <c r="X17"/>
      <c r="Y17"/>
      <c r="Z17"/>
      <c r="AA17"/>
      <c r="AB17"/>
      <c r="AC17"/>
      <c r="AD17"/>
      <c r="AE17"/>
      <c r="AF17"/>
      <c r="AG17"/>
      <c r="AH17"/>
      <c r="AI17"/>
      <c r="AJ17"/>
      <c r="AK17"/>
    </row>
    <row r="18" spans="1:37" s="65" customFormat="1" ht="40.5">
      <c r="A18" s="258"/>
      <c r="B18" s="260">
        <v>14</v>
      </c>
      <c r="C18" s="361" t="s">
        <v>182</v>
      </c>
      <c r="D18" s="695">
        <v>5</v>
      </c>
      <c r="E18" s="588">
        <f>149.6*1.1</f>
        <v>164.56</v>
      </c>
      <c r="F18" s="695">
        <v>4</v>
      </c>
      <c r="G18" s="696">
        <f>98.4*1.1</f>
        <v>108.24000000000001</v>
      </c>
      <c r="H18" s="259" t="s">
        <v>3</v>
      </c>
      <c r="I18" s="259" t="s">
        <v>3</v>
      </c>
      <c r="J18" s="401">
        <f t="shared" si="0"/>
        <v>5</v>
      </c>
      <c r="K18" s="409">
        <f t="shared" si="1"/>
        <v>272.8</v>
      </c>
      <c r="M18"/>
      <c r="N18"/>
      <c r="O18"/>
      <c r="P18"/>
      <c r="Q18"/>
      <c r="R18"/>
      <c r="S18"/>
      <c r="T18"/>
      <c r="U18"/>
      <c r="V18"/>
      <c r="W18"/>
      <c r="X18"/>
      <c r="Y18"/>
      <c r="Z18"/>
      <c r="AA18"/>
      <c r="AB18"/>
      <c r="AC18"/>
      <c r="AD18"/>
      <c r="AE18"/>
      <c r="AF18"/>
      <c r="AG18"/>
      <c r="AH18"/>
      <c r="AI18"/>
      <c r="AJ18"/>
      <c r="AK18"/>
    </row>
    <row r="19" spans="1:11" ht="21.75">
      <c r="A19" s="258" t="s">
        <v>393</v>
      </c>
      <c r="B19" s="260">
        <v>15</v>
      </c>
      <c r="C19" s="1031" t="s">
        <v>159</v>
      </c>
      <c r="D19" s="695"/>
      <c r="E19" s="588"/>
      <c r="F19" s="585">
        <v>6</v>
      </c>
      <c r="G19" s="586">
        <f>183.9*1.1</f>
        <v>202.29000000000002</v>
      </c>
      <c r="H19" s="259" t="s">
        <v>3</v>
      </c>
      <c r="I19" s="259" t="s">
        <v>3</v>
      </c>
      <c r="J19" s="259" t="s">
        <v>3</v>
      </c>
      <c r="K19" s="409">
        <f t="shared" si="1"/>
        <v>202.29000000000002</v>
      </c>
    </row>
    <row r="20" spans="2:37" s="65" customFormat="1" ht="40.5">
      <c r="B20" s="260">
        <v>16</v>
      </c>
      <c r="C20" s="361" t="s">
        <v>183</v>
      </c>
      <c r="D20" s="695">
        <v>6</v>
      </c>
      <c r="E20" s="588">
        <f>116.8*1.1</f>
        <v>128.48000000000002</v>
      </c>
      <c r="F20" s="695"/>
      <c r="G20" s="696"/>
      <c r="H20" s="259" t="s">
        <v>3</v>
      </c>
      <c r="I20" s="259" t="s">
        <v>3</v>
      </c>
      <c r="J20" s="401">
        <f t="shared" si="0"/>
        <v>6</v>
      </c>
      <c r="K20" s="409">
        <f t="shared" si="1"/>
        <v>128.48000000000002</v>
      </c>
      <c r="M20"/>
      <c r="N20"/>
      <c r="O20"/>
      <c r="P20"/>
      <c r="Q20"/>
      <c r="R20"/>
      <c r="S20"/>
      <c r="T20"/>
      <c r="U20"/>
      <c r="V20"/>
      <c r="W20"/>
      <c r="X20"/>
      <c r="Y20"/>
      <c r="Z20"/>
      <c r="AA20"/>
      <c r="AB20"/>
      <c r="AC20"/>
      <c r="AD20"/>
      <c r="AE20"/>
      <c r="AF20"/>
      <c r="AG20"/>
      <c r="AH20"/>
      <c r="AI20"/>
      <c r="AJ20"/>
      <c r="AK20"/>
    </row>
    <row r="21" spans="2:11" ht="42">
      <c r="B21" s="260">
        <v>17</v>
      </c>
      <c r="C21" s="394" t="s">
        <v>158</v>
      </c>
      <c r="D21" s="695">
        <v>4</v>
      </c>
      <c r="E21" s="588">
        <f>64.3*1.1</f>
        <v>70.73</v>
      </c>
      <c r="F21" s="585"/>
      <c r="G21" s="586"/>
      <c r="H21" s="259" t="s">
        <v>3</v>
      </c>
      <c r="I21" s="259" t="s">
        <v>3</v>
      </c>
      <c r="J21" s="401">
        <f t="shared" si="0"/>
        <v>4</v>
      </c>
      <c r="K21" s="409">
        <f t="shared" si="1"/>
        <v>70.73</v>
      </c>
    </row>
    <row r="22" spans="2:11" ht="22.5" thickBot="1">
      <c r="B22" s="260">
        <v>18</v>
      </c>
      <c r="C22" s="394" t="s">
        <v>234</v>
      </c>
      <c r="D22" s="695"/>
      <c r="E22" s="588"/>
      <c r="F22" s="585">
        <v>1</v>
      </c>
      <c r="G22" s="586">
        <f>22.6*1.1</f>
        <v>24.860000000000003</v>
      </c>
      <c r="H22" s="259" t="s">
        <v>3</v>
      </c>
      <c r="I22" s="259" t="s">
        <v>3</v>
      </c>
      <c r="J22" s="259" t="s">
        <v>3</v>
      </c>
      <c r="K22" s="409">
        <f t="shared" si="1"/>
        <v>24.860000000000003</v>
      </c>
    </row>
    <row r="23" spans="1:37" s="405" customFormat="1" ht="21.75" thickBot="1">
      <c r="A23" s="410"/>
      <c r="B23" s="411"/>
      <c r="C23" s="412" t="s">
        <v>481</v>
      </c>
      <c r="D23" s="404">
        <f>SUM(D5:D22)</f>
        <v>75</v>
      </c>
      <c r="E23" s="815">
        <f>SUM(E5:E22)</f>
        <v>2151.2700000000004</v>
      </c>
      <c r="F23" s="404">
        <f>SUM(F5:F22)</f>
        <v>61</v>
      </c>
      <c r="G23" s="814">
        <f>SUM(G5:G22)</f>
        <v>1611.7199999999998</v>
      </c>
      <c r="H23" s="912">
        <f>SUM(H5:H19)</f>
        <v>0</v>
      </c>
      <c r="I23" s="404">
        <f>SUM(I5:I19)</f>
        <v>0</v>
      </c>
      <c r="J23" s="404">
        <f>SUM(J5:J22)</f>
        <v>75</v>
      </c>
      <c r="K23" s="813">
        <f>SUM(K5:K22)</f>
        <v>3762.990000000001</v>
      </c>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row>
    <row r="24" spans="2:37" s="65" customFormat="1" ht="23.25" customHeight="1">
      <c r="B24" s="98"/>
      <c r="E24" s="820"/>
      <c r="F24" s="405"/>
      <c r="G24" s="406"/>
      <c r="H24" s="405"/>
      <c r="I24" s="405"/>
      <c r="J24" s="405"/>
      <c r="K24" s="406"/>
      <c r="M24"/>
      <c r="N24"/>
      <c r="O24"/>
      <c r="P24"/>
      <c r="Q24"/>
      <c r="R24"/>
      <c r="S24"/>
      <c r="T24"/>
      <c r="U24"/>
      <c r="V24"/>
      <c r="W24"/>
      <c r="X24"/>
      <c r="Y24"/>
      <c r="Z24"/>
      <c r="AA24"/>
      <c r="AB24"/>
      <c r="AC24"/>
      <c r="AD24"/>
      <c r="AE24"/>
      <c r="AF24"/>
      <c r="AG24"/>
      <c r="AH24"/>
      <c r="AI24"/>
      <c r="AJ24"/>
      <c r="AK24"/>
    </row>
    <row r="25" spans="2:37" s="65" customFormat="1" ht="23.25" customHeight="1">
      <c r="B25" s="98"/>
      <c r="E25" s="820"/>
      <c r="F25" s="405"/>
      <c r="G25" s="406"/>
      <c r="H25" s="405"/>
      <c r="I25" s="405"/>
      <c r="J25" s="405"/>
      <c r="K25" s="406"/>
      <c r="M25"/>
      <c r="N25"/>
      <c r="O25"/>
      <c r="P25"/>
      <c r="Q25"/>
      <c r="R25"/>
      <c r="S25"/>
      <c r="T25"/>
      <c r="U25"/>
      <c r="V25"/>
      <c r="W25"/>
      <c r="X25"/>
      <c r="Y25"/>
      <c r="Z25"/>
      <c r="AA25"/>
      <c r="AB25"/>
      <c r="AC25"/>
      <c r="AD25"/>
      <c r="AE25"/>
      <c r="AF25"/>
      <c r="AG25"/>
      <c r="AH25"/>
      <c r="AI25"/>
      <c r="AJ25"/>
      <c r="AK25"/>
    </row>
    <row r="26" spans="2:37" s="65" customFormat="1" ht="23.25" customHeight="1">
      <c r="B26" s="98"/>
      <c r="E26" s="820"/>
      <c r="F26" s="405"/>
      <c r="G26" s="406"/>
      <c r="H26" s="405"/>
      <c r="I26" s="405"/>
      <c r="J26" s="405"/>
      <c r="K26" s="406"/>
      <c r="M26"/>
      <c r="N26"/>
      <c r="O26"/>
      <c r="P26"/>
      <c r="Q26"/>
      <c r="R26"/>
      <c r="S26"/>
      <c r="T26"/>
      <c r="U26"/>
      <c r="V26"/>
      <c r="W26"/>
      <c r="X26"/>
      <c r="Y26"/>
      <c r="Z26"/>
      <c r="AA26"/>
      <c r="AB26"/>
      <c r="AC26"/>
      <c r="AD26"/>
      <c r="AE26"/>
      <c r="AF26"/>
      <c r="AG26"/>
      <c r="AH26"/>
      <c r="AI26"/>
      <c r="AJ26"/>
      <c r="AK26"/>
    </row>
  </sheetData>
  <sheetProtection/>
  <mergeCells count="7">
    <mergeCell ref="A3:A4"/>
    <mergeCell ref="B3:C4"/>
    <mergeCell ref="J3:K3"/>
    <mergeCell ref="H3:H4"/>
    <mergeCell ref="I3:I4"/>
    <mergeCell ref="F3:G3"/>
    <mergeCell ref="D3:E3"/>
  </mergeCells>
  <printOptions horizontalCentered="1"/>
  <pageMargins left="0.16" right="0.15" top="0.3" bottom="0.16" header="0.3" footer="0.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u_sar</dc:creator>
  <cp:keywords/>
  <dc:description/>
  <cp:lastModifiedBy>DELL</cp:lastModifiedBy>
  <cp:lastPrinted>2013-08-26T10:03:08Z</cp:lastPrinted>
  <dcterms:created xsi:type="dcterms:W3CDTF">2007-10-09T07:28:46Z</dcterms:created>
  <dcterms:modified xsi:type="dcterms:W3CDTF">2013-09-13T07:22:58Z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